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EKYYiP5VtlI/9RGuJB5Ujd6JRz2qRlzYGsH/jp4C3kcqUfeEGl76MwdgxKB9CTU0UMVtrXpBM+L2z2NY30s1vQ==" workbookSaltValue="oZRhqwaSYny5OrRGwXHC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AZ13" i="11"/>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R13" i="17"/>
  <c r="P13" i="14"/>
  <c r="R13" i="14" s="1"/>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AQ14" i="21" l="1"/>
  <c r="K17" i="12"/>
  <c r="AM22" i="11"/>
  <c r="AM13" i="11"/>
  <c r="AM16" i="11"/>
  <c r="AM11" i="11"/>
  <c r="AP30" i="20"/>
  <c r="AM12" i="11"/>
  <c r="AO12" i="17"/>
  <c r="AP14" i="21"/>
  <c r="AM9" i="11"/>
  <c r="AP30" i="21"/>
  <c r="AM25" i="11"/>
  <c r="AP23" i="20"/>
  <c r="AP26" i="21"/>
  <c r="X14" i="20"/>
  <c r="S13" i="17"/>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BG9" i="11"/>
  <c r="BJ12" i="11"/>
  <c r="BM13" i="11"/>
  <c r="BJ29" i="11"/>
  <c r="BI16" i="11"/>
  <c r="BH9" i="11"/>
  <c r="BF22" i="11"/>
  <c r="V21" i="11"/>
  <c r="BJ21" i="11"/>
  <c r="BK16" i="11"/>
  <c r="AZ29" i="11"/>
  <c r="S18" i="16"/>
  <c r="BF25" i="11"/>
  <c r="BK12" i="11"/>
  <c r="BK14" i="11" s="1"/>
  <c r="BI28" i="11"/>
  <c r="BL18" i="11"/>
  <c r="P18" i="11" s="1"/>
  <c r="BJ19" i="11"/>
  <c r="BF19" i="11"/>
  <c r="BF23" i="11" s="1"/>
  <c r="BH18" i="16"/>
  <c r="S20" i="14"/>
  <c r="V20" i="14" s="1"/>
  <c r="T9" i="11"/>
  <c r="BF23" i="13"/>
  <c r="K9" i="12"/>
  <c r="BL9" i="11"/>
  <c r="Q9" i="11" s="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I21" i="11"/>
  <c r="L28" i="2"/>
  <c r="L16" i="2"/>
  <c r="X16" i="16"/>
  <c r="X23" i="16" s="1"/>
  <c r="V25" i="16"/>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J17" i="11"/>
  <c r="BK22" i="11"/>
  <c r="BL17" i="11"/>
  <c r="BH22" i="11"/>
  <c r="X12" i="17"/>
  <c r="L22" i="2"/>
  <c r="X22" i="16"/>
  <c r="S16" i="17"/>
  <c r="S17" i="17"/>
  <c r="L12" i="2"/>
  <c r="X19" i="16"/>
  <c r="X10" i="21"/>
  <c r="L20" i="2"/>
  <c r="U9" i="17"/>
  <c r="U31" i="17" s="1"/>
  <c r="V10" i="16"/>
  <c r="V9" i="16"/>
  <c r="X13" i="16"/>
  <c r="BK10" i="11"/>
  <c r="L10" i="2"/>
  <c r="X21" i="20"/>
  <c r="L17" i="2"/>
  <c r="L18" i="2"/>
  <c r="AA11" i="16"/>
  <c r="L9" i="2"/>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P9" i="11"/>
  <c r="BL23" i="11"/>
  <c r="P16" i="11"/>
  <c r="P20" i="11"/>
  <c r="S31" i="16"/>
  <c r="AA31"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<sst xmlns="http://schemas.openxmlformats.org/spreadsheetml/2006/main" count="2682" uniqueCount="1193">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</sst>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y0JAMxt+oeJkcvLIgWJcEBI8Op3lEbZUlLMBra8sqkIGNcu1HZLFWYs4aUCcLJehFh+pqMRdHRvnjA3pdLWTA==" saltValue="3Hi5AeCz5g7knQMrnlWY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14.873754152823921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266</v>
      </c>
      <c r="D17" s="239">
        <f>IF(ISNUMBER(IF(D_I="SI",Datos!I17,Datos!I17+Datos!AC17)),IF(D_I="SI",Datos!I17,Datos!I17+Datos!AC17)," - ")</f>
        <v>266</v>
      </c>
      <c r="E17" s="240">
        <f>IF(ISNUMBER(IF(D_I="SI",Datos!J17,Datos!J17+Datos!AD17)),IF(D_I="SI",Datos!J17,Datos!J17+Datos!AD17)," - ")</f>
        <v>205</v>
      </c>
      <c r="F17" s="240">
        <f>IF(ISNUMBER(IF(D_I="SI",Datos!K17,Datos!K17+Datos!AE17)),IF(D_I="SI",Datos!K17,Datos!K17+Datos!AE17)," - ")</f>
        <v>178</v>
      </c>
      <c r="G17" s="1390" t="str">
        <f>IF(Datos!E17&lt;&gt;"",Datos!E17,Datos!D17)</f>
        <v>04</v>
      </c>
      <c r="H17" s="241">
        <f>IF(ISNUMBER(IF(D_I="SI",Datos!L17,Datos!L17+Datos!AF17)),IF(D_I="SI",Datos!L17,Datos!L17+Datos!AF17)," - ")</f>
        <v>293</v>
      </c>
      <c r="I17" s="1400" t="str">
        <f>IF(ISNUMBER(Datos!AS17/Datos!BM17),Datos!AS17/Datos!BM17," - ")</f>
        <v xml:space="preserve"> - </v>
      </c>
      <c r="J17" s="1401">
        <f>IF(ISNUMBER(Datos!BY17/Datos!CN17),Datos!BY17/Datos!CN17," - ")</f>
        <v>0</v>
      </c>
      <c r="K17" s="244">
        <f t="shared" si="3"/>
        <v>0.10150375939849623</v>
      </c>
      <c r="L17" s="1402">
        <f>IF(ISNUMBER(NºAsuntos!I17/NºAsuntos!G17),(NºAsuntos!I17/NºAsuntos!G17)*11," - ")</f>
        <v>18.106741573033705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7</v>
      </c>
      <c r="F18" s="240">
        <f>IF(ISNUMBER(IF(D_I="SI",Datos!K18,Datos!K18+Datos!AE18)),IF(D_I="SI",Datos!K18,Datos!K18+Datos!AE18)," - ")</f>
        <v>10</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-0.11538461538461539</v>
      </c>
      <c r="L18" s="1402">
        <f>IF(ISNUMBER(NºAsuntos!I18/NºAsuntos!G18),(NºAsuntos!I18/NºAsuntos!G18)*11," - ")</f>
        <v>25.299999999999997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292</v>
      </c>
      <c r="D23" s="1407">
        <f>SUBTOTAL(9,D16:D22)</f>
        <v>292</v>
      </c>
      <c r="E23" s="1408">
        <f>SUBTOTAL(9,E16:E22)</f>
        <v>212</v>
      </c>
      <c r="F23" s="1408">
        <f>SUBTOTAL(9,F16:F22)</f>
        <v>188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292</v>
      </c>
      <c r="D31" s="1435">
        <f>SUBTOTAL(9,D9:D30)</f>
        <v>292</v>
      </c>
      <c r="E31" s="1436">
        <f>SUBTOTAL(9,E9:E30)</f>
        <v>212</v>
      </c>
      <c r="F31" s="1436">
        <f>SUBTOTAL(9,F9:F30)</f>
        <v>188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bWTBnpuvGwrrirmVl6sgjmuGu2vBw+nXy8pR/Hkdo7niIFmTL9t1O0JN0xjkDqAVkfN4a2B6voJBSumQcUvCw==" saltValue="nXFajNiYDj6hTs88VqPE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VI+MCPjKDqj1rSc6KRB+kzLAy5w+6RF+9qX7Z+f1Oe4tmqD7z2uOPCXtSrpCsCIeOWFtrEHX3wDtZnqiVMXlw==" saltValue="tF1c9a3sIfL4bRk9GMfl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7</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426</v>
      </c>
      <c r="J12" s="196">
        <v>235</v>
      </c>
      <c r="K12" s="196">
        <v>281</v>
      </c>
      <c r="L12" s="196">
        <v>380</v>
      </c>
      <c r="M12" s="196">
        <v>84</v>
      </c>
      <c r="N12" s="196">
        <v>21</v>
      </c>
      <c r="O12" s="194">
        <v>5</v>
      </c>
      <c r="P12" s="196">
        <v>73</v>
      </c>
      <c r="Q12" s="196">
        <v>19</v>
      </c>
      <c r="R12" s="196">
        <v>728</v>
      </c>
      <c r="S12" s="196">
        <v>474</v>
      </c>
      <c r="T12" s="196">
        <v>183</v>
      </c>
      <c r="U12" s="196">
        <v>227</v>
      </c>
      <c r="V12" s="196">
        <v>427</v>
      </c>
      <c r="W12" s="196">
        <v>58</v>
      </c>
      <c r="X12" s="202">
        <v>90</v>
      </c>
      <c r="Y12" s="204">
        <v>9</v>
      </c>
      <c r="Z12" s="194">
        <v>38</v>
      </c>
      <c r="AA12" s="194">
        <v>20</v>
      </c>
      <c r="AB12" s="194">
        <v>27</v>
      </c>
      <c r="AC12" s="196">
        <v>0</v>
      </c>
      <c r="AD12" s="196">
        <v>0</v>
      </c>
      <c r="AE12" s="196">
        <v>0</v>
      </c>
      <c r="AF12" s="202">
        <v>0</v>
      </c>
      <c r="AG12" s="215">
        <v>11</v>
      </c>
      <c r="AH12" s="196">
        <v>21</v>
      </c>
      <c r="AI12" s="196">
        <v>21</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485</v>
      </c>
      <c r="AZ12" s="137">
        <f t="shared" si="1"/>
        <v>204</v>
      </c>
      <c r="BA12" s="137">
        <f t="shared" si="1"/>
        <v>248</v>
      </c>
      <c r="BB12" s="137">
        <f t="shared" si="1"/>
        <v>438</v>
      </c>
      <c r="BC12" s="135">
        <f>IF(ISNUMBER(X12),X12," - ")</f>
        <v>90</v>
      </c>
      <c r="BD12" s="136">
        <f t="shared" si="2"/>
        <v>1.2156862745098038</v>
      </c>
      <c r="BE12" s="137">
        <f t="shared" si="3"/>
        <v>1.7661290322580645</v>
      </c>
      <c r="BF12" s="137">
        <f t="shared" si="4"/>
        <v>0.36290322580645162</v>
      </c>
      <c r="BG12" s="209">
        <f t="shared" si="5"/>
        <v>2.778225806451613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426</v>
      </c>
      <c r="J14" s="197">
        <f t="shared" si="7"/>
        <v>235</v>
      </c>
      <c r="K14" s="197">
        <f t="shared" si="7"/>
        <v>281</v>
      </c>
      <c r="L14" s="197">
        <f t="shared" si="7"/>
        <v>380</v>
      </c>
      <c r="M14" s="197">
        <f t="shared" si="7"/>
        <v>84</v>
      </c>
      <c r="N14" s="197">
        <f t="shared" si="7"/>
        <v>21</v>
      </c>
      <c r="O14" s="197">
        <f t="shared" si="7"/>
        <v>5</v>
      </c>
      <c r="P14" s="197">
        <f t="shared" si="7"/>
        <v>73</v>
      </c>
      <c r="Q14" s="197">
        <f t="shared" si="7"/>
        <v>19</v>
      </c>
      <c r="R14" s="197">
        <f t="shared" si="7"/>
        <v>735</v>
      </c>
      <c r="S14" s="197">
        <f t="shared" si="7"/>
        <v>476</v>
      </c>
      <c r="T14" s="197">
        <f t="shared" si="7"/>
        <v>184</v>
      </c>
      <c r="U14" s="197">
        <f t="shared" si="7"/>
        <v>227</v>
      </c>
      <c r="V14" s="197">
        <f t="shared" si="7"/>
        <v>430</v>
      </c>
      <c r="W14" s="197">
        <f t="shared" si="7"/>
        <v>58</v>
      </c>
      <c r="X14" s="197">
        <f t="shared" si="7"/>
        <v>90</v>
      </c>
      <c r="Y14" s="197">
        <f t="shared" si="7"/>
        <v>9</v>
      </c>
      <c r="Z14" s="197">
        <f t="shared" si="7"/>
        <v>38</v>
      </c>
      <c r="AA14" s="197">
        <f t="shared" si="7"/>
        <v>20</v>
      </c>
      <c r="AB14" s="197">
        <f t="shared" si="7"/>
        <v>27</v>
      </c>
      <c r="AC14" s="197">
        <f t="shared" si="7"/>
        <v>0</v>
      </c>
      <c r="AD14" s="197">
        <f t="shared" si="7"/>
        <v>0</v>
      </c>
      <c r="AE14" s="197">
        <f t="shared" si="7"/>
        <v>0</v>
      </c>
      <c r="AF14" s="197">
        <f>SUBTOTAL(9,AF9:AF13)</f>
        <v>0</v>
      </c>
      <c r="AG14" s="197">
        <f t="shared" ref="AG14:AT14" si="8">SUBTOTAL(9,AG8:AG13)</f>
        <v>11</v>
      </c>
      <c r="AH14" s="197">
        <f t="shared" si="8"/>
        <v>21</v>
      </c>
      <c r="AI14" s="197">
        <f t="shared" si="8"/>
        <v>21</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487</v>
      </c>
      <c r="AZ14" s="197">
        <f>SUBTOTAL(9,AZ8:AZ13)</f>
        <v>205</v>
      </c>
      <c r="BA14" s="197">
        <f>SUBTOTAL(9,BA8:BA13)</f>
        <v>248</v>
      </c>
      <c r="BB14" s="197">
        <f>SUBTOTAL(9,BB8:BB13)</f>
        <v>441</v>
      </c>
      <c r="BC14" s="197">
        <f>SUBTOTAL(9,BC8:BC13)</f>
        <v>90</v>
      </c>
      <c r="BD14" s="219">
        <f>IF(ISNUMBER(BA14/AZ14),BA14/AZ14," - ")</f>
        <v>1.2097560975609756</v>
      </c>
      <c r="BE14" s="220">
        <f>IF(ISNUMBER(BB14/BA14),BB14/BA14, " - ")</f>
        <v>1.778225806451613</v>
      </c>
      <c r="BF14" s="220">
        <f>IF(ISNUMBER(BC14/BA14),BC14/BA14, " - ")</f>
        <v>0.36290322580645162</v>
      </c>
      <c r="BG14" s="221">
        <f>IF(ISNUMBER((AY14+AZ14)/BA14),(AY14+AZ14)/BA14," - ")</f>
        <v>2.7903225806451615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266</v>
      </c>
      <c r="J17" s="196">
        <v>205</v>
      </c>
      <c r="K17" s="196">
        <v>178</v>
      </c>
      <c r="L17" s="196">
        <v>293</v>
      </c>
      <c r="M17" s="196">
        <v>35</v>
      </c>
      <c r="N17" s="196">
        <v>99</v>
      </c>
      <c r="O17" s="194">
        <v>4</v>
      </c>
      <c r="P17" s="196">
        <v>11</v>
      </c>
      <c r="Q17" s="196">
        <v>7</v>
      </c>
      <c r="R17" s="196">
        <v>36</v>
      </c>
      <c r="S17" s="196">
        <v>262</v>
      </c>
      <c r="T17" s="196">
        <v>161</v>
      </c>
      <c r="U17" s="196">
        <v>189</v>
      </c>
      <c r="V17" s="196">
        <v>234</v>
      </c>
      <c r="W17" s="196">
        <v>36</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262</v>
      </c>
      <c r="AZ17" s="137">
        <f t="shared" si="10"/>
        <v>161</v>
      </c>
      <c r="BA17" s="137">
        <f t="shared" si="10"/>
        <v>189</v>
      </c>
      <c r="BB17" s="137">
        <f t="shared" si="10"/>
        <v>234</v>
      </c>
      <c r="BC17" s="135">
        <f>IF(ISNUMBER(W17),W17," - ")</f>
        <v>36</v>
      </c>
      <c r="BD17" s="136">
        <f t="shared" ref="BD17:BD22" si="12">IF(ISNUMBER(BA17/AZ17),BA17/AZ17," - ")</f>
        <v>1.173913043478261</v>
      </c>
      <c r="BE17" s="137">
        <f t="shared" ref="BE17:BE22" si="13">IF(ISNUMBER(BB17/BA17),BB17/BA17, " - ")</f>
        <v>1.2380952380952381</v>
      </c>
      <c r="BF17" s="137">
        <f t="shared" ref="BF17:BF22" si="14">IF(ISNUMBER(BC17/BA17),BC17/BA17, " - ")</f>
        <v>0.19047619047619047</v>
      </c>
      <c r="BG17" s="209">
        <f t="shared" si="11"/>
        <v>2.2380952380952381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7</v>
      </c>
      <c r="K18" s="196">
        <v>10</v>
      </c>
      <c r="L18" s="196">
        <v>23</v>
      </c>
      <c r="M18" s="196">
        <v>0</v>
      </c>
      <c r="N18" s="196">
        <v>9</v>
      </c>
      <c r="O18" s="196">
        <v>0</v>
      </c>
      <c r="P18" s="196">
        <v>0</v>
      </c>
      <c r="Q18" s="196">
        <v>0</v>
      </c>
      <c r="R18" s="196">
        <v>0</v>
      </c>
      <c r="S18" s="196">
        <v>23</v>
      </c>
      <c r="T18" s="196">
        <v>9</v>
      </c>
      <c r="U18" s="196">
        <v>11</v>
      </c>
      <c r="V18" s="196">
        <v>21</v>
      </c>
      <c r="W18" s="196">
        <v>1</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9</v>
      </c>
      <c r="BA18" s="139">
        <f t="shared" si="15"/>
        <v>11</v>
      </c>
      <c r="BB18" s="139">
        <f t="shared" si="15"/>
        <v>21</v>
      </c>
      <c r="BC18" s="135">
        <f>IF(ISNUMBER(W18),W18," - ")</f>
        <v>1</v>
      </c>
      <c r="BD18" s="136">
        <f>IF(ISNUMBER(BA18/AZ18),BA18/AZ18," - ")</f>
        <v>1.2222222222222223</v>
      </c>
      <c r="BE18" s="137">
        <f>IF(ISNUMBER(BB18/BA18),BB18/BA18, " - ")</f>
        <v>1.9090909090909092</v>
      </c>
      <c r="BF18" s="137">
        <f>IF(ISNUMBER(BC18/BA18),BC18/BA18, " - ")</f>
        <v>9.0909090909090912E-2</v>
      </c>
      <c r="BG18" s="209">
        <f>IF(ISNUMBER((AY18+AZ18)/BA18),(AY18+AZ18)/BA18," - ")</f>
        <v>2.9090909090909092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292</v>
      </c>
      <c r="J23" s="197">
        <f t="shared" si="21"/>
        <v>212</v>
      </c>
      <c r="K23" s="197">
        <f t="shared" si="21"/>
        <v>188</v>
      </c>
      <c r="L23" s="197">
        <f t="shared" si="21"/>
        <v>316</v>
      </c>
      <c r="M23" s="197">
        <f t="shared" si="21"/>
        <v>35</v>
      </c>
      <c r="N23" s="197">
        <f t="shared" si="21"/>
        <v>108</v>
      </c>
      <c r="O23" s="197">
        <f t="shared" si="21"/>
        <v>4</v>
      </c>
      <c r="P23" s="197">
        <f t="shared" si="21"/>
        <v>11</v>
      </c>
      <c r="Q23" s="197">
        <f t="shared" si="21"/>
        <v>7</v>
      </c>
      <c r="R23" s="197">
        <f t="shared" si="21"/>
        <v>36</v>
      </c>
      <c r="S23" s="197">
        <f t="shared" si="21"/>
        <v>285</v>
      </c>
      <c r="T23" s="197">
        <f t="shared" si="21"/>
        <v>170</v>
      </c>
      <c r="U23" s="197">
        <f t="shared" si="21"/>
        <v>200</v>
      </c>
      <c r="V23" s="197">
        <f t="shared" si="21"/>
        <v>255</v>
      </c>
      <c r="W23" s="197">
        <f t="shared" si="21"/>
        <v>37</v>
      </c>
      <c r="X23" s="197">
        <f t="shared" si="21"/>
        <v>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285</v>
      </c>
      <c r="AZ23" s="197">
        <f>SUBTOTAL(9,AZ15:AZ22)</f>
        <v>170</v>
      </c>
      <c r="BA23" s="197">
        <f>SUBTOTAL(9,BA15:BA22)</f>
        <v>200</v>
      </c>
      <c r="BB23" s="197">
        <f>SUBTOTAL(9,BB15:BB22)</f>
        <v>255</v>
      </c>
      <c r="BC23" s="197">
        <f>SUBTOTAL(9,BC15:BC22)</f>
        <v>37</v>
      </c>
      <c r="BD23" s="219">
        <f>IF(ISNUMBER(BA23/AZ23),BA23/AZ23," - ")</f>
        <v>1.1764705882352942</v>
      </c>
      <c r="BE23" s="220">
        <f>IF(ISNUMBER(BB23/BA23),BB23/BA23, " - ")</f>
        <v>1.2749999999999999</v>
      </c>
      <c r="BF23" s="220">
        <f>IF(ISNUMBER(BC23/BA23),BC23/BA23, " - ")</f>
        <v>0.185</v>
      </c>
      <c r="BG23" s="221">
        <f>IF(ISNUMBER((AY23+AZ23)/BA23),(AY23+AZ23)/BA23," - ")</f>
        <v>2.2749999999999999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718</v>
      </c>
      <c r="J31" s="144">
        <f t="shared" si="36"/>
        <v>447</v>
      </c>
      <c r="K31" s="144">
        <f t="shared" si="36"/>
        <v>469</v>
      </c>
      <c r="L31" s="144">
        <f t="shared" si="36"/>
        <v>696</v>
      </c>
      <c r="M31" s="144">
        <f t="shared" si="36"/>
        <v>119</v>
      </c>
      <c r="N31" s="144">
        <f t="shared" si="36"/>
        <v>129</v>
      </c>
      <c r="O31" s="144">
        <f t="shared" si="36"/>
        <v>9</v>
      </c>
      <c r="P31" s="144">
        <f t="shared" si="36"/>
        <v>84</v>
      </c>
      <c r="Q31" s="144">
        <f t="shared" si="36"/>
        <v>26</v>
      </c>
      <c r="R31" s="144">
        <f t="shared" si="36"/>
        <v>771</v>
      </c>
      <c r="S31" s="144">
        <f t="shared" si="36"/>
        <v>761</v>
      </c>
      <c r="T31" s="144">
        <f t="shared" si="36"/>
        <v>354</v>
      </c>
      <c r="U31" s="144">
        <f t="shared" si="36"/>
        <v>427</v>
      </c>
      <c r="V31" s="144">
        <f t="shared" si="36"/>
        <v>685</v>
      </c>
      <c r="W31" s="144">
        <f t="shared" si="36"/>
        <v>95</v>
      </c>
      <c r="X31" s="144">
        <f t="shared" si="36"/>
        <v>181</v>
      </c>
      <c r="Y31" s="144">
        <f t="shared" si="36"/>
        <v>9</v>
      </c>
      <c r="Z31" s="144">
        <f t="shared" si="36"/>
        <v>38</v>
      </c>
      <c r="AA31" s="144">
        <f t="shared" si="36"/>
        <v>20</v>
      </c>
      <c r="AB31" s="144">
        <f t="shared" si="36"/>
        <v>27</v>
      </c>
      <c r="AC31" s="144">
        <f t="shared" si="36"/>
        <v>0</v>
      </c>
      <c r="AD31" s="144">
        <f t="shared" si="36"/>
        <v>0</v>
      </c>
      <c r="AE31" s="144">
        <f t="shared" si="36"/>
        <v>0</v>
      </c>
      <c r="AF31" s="144">
        <f t="shared" si="36"/>
        <v>0</v>
      </c>
      <c r="AG31" s="144">
        <f t="shared" si="36"/>
        <v>11</v>
      </c>
      <c r="AH31" s="144">
        <f t="shared" si="36"/>
        <v>21</v>
      </c>
      <c r="AI31" s="144">
        <f t="shared" si="36"/>
        <v>21</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772</v>
      </c>
      <c r="AZ31" s="144">
        <f>SUBTOTAL(9,AZ9:AZ30)</f>
        <v>375</v>
      </c>
      <c r="BA31" s="144">
        <f>SUBTOTAL(9,BA9:BA30)</f>
        <v>448</v>
      </c>
      <c r="BB31" s="144">
        <f>SUBTOTAL(9,BB9:BB30)</f>
        <v>696</v>
      </c>
      <c r="BC31" s="145">
        <f>SUBTOTAL(9,BC9:BC30)</f>
        <v>127</v>
      </c>
      <c r="BD31" s="227">
        <f>IF(ISNUMBER(BA31/AZ31),BA31/AZ31," - ")</f>
        <v>1.1946666666666668</v>
      </c>
      <c r="BE31" s="224">
        <f>IF(ISNUMBER(BB31/BA31),BB31/BA31, " - ")</f>
        <v>1.5535714285714286</v>
      </c>
      <c r="BF31" s="224">
        <f>IF(ISNUMBER(BC31/BA31),BC31/BA31, " - ")</f>
        <v>0.28348214285714285</v>
      </c>
      <c r="BG31" s="145">
        <f>IF(ISNUMBER((AY31+AZ31)/BA31),(AY31+AZ31)/BA31," - ")</f>
        <v>2.5602678571428572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no5py9eKWJ97eAJEtQSLi8EAdRaUQcui89cHlQwiGCVsOSjc5XilqQTB803RfG+wQh02Njfg9lXdONQAs5eQ==" saltValue="G1Ca1WDys9vTC09rPuMn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8pUJvWr4pAd4u3H3ZfxfXUllhVny2R8X7fsKvMuKba2PpUb6d1830tpwSPuyk5oHzJTwTifLBxcKx+v+A5w==" saltValue="wnfZToNCKCWnGfWvgq12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BEJAR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728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84</v>
      </c>
      <c r="BD12" s="693">
        <f>IF(ISNUMBER(Datos!N12),Datos!N12," - ")</f>
        <v>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1.1025641025641026</v>
      </c>
      <c r="BH12" s="764">
        <f>IF(ISNUMBER(((IF(J_V="SI",Datos!L12/Datos!K12,(Datos!L12+Datos!AB12)/(Datos!K12+Datos!AA12)))*11)/factor_trimestre),((IF(J_V="SI",Datos!L12/Datos!K12,(Datos!L12+Datos!AB12)/(Datos!K12+Datos!AA12)))*11)/factor_trimestre," - ")</f>
        <v>4.0564784053156151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8.0118694362017809E-2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27</v>
      </c>
      <c r="AI14" s="1198">
        <f t="shared" si="2"/>
        <v>0</v>
      </c>
      <c r="AJ14" s="1198">
        <f t="shared" si="2"/>
        <v>0</v>
      </c>
      <c r="AK14" s="1198">
        <f t="shared" si="2"/>
        <v>0</v>
      </c>
      <c r="AL14" s="1198">
        <f t="shared" si="2"/>
        <v>0</v>
      </c>
      <c r="AM14" s="1198">
        <f t="shared" si="2"/>
        <v>735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21</v>
      </c>
      <c r="BE14" s="1198">
        <f t="shared" si="2"/>
        <v>0</v>
      </c>
      <c r="BF14" s="1198">
        <f t="shared" si="2"/>
        <v>0</v>
      </c>
      <c r="BG14" s="1198">
        <f>IF(ISNUMBER(Datos!K14/Datos!J14),Datos!K14/Datos!J14," - ")</f>
        <v>1.1957446808510639</v>
      </c>
      <c r="BH14" s="1202">
        <f>IF(ISNUMBER(((Datos!L14/Datos!K14)*11)/factor_trimestre),((Datos!L14/Datos!K14)*11)/factor_trimestre," - ")</f>
        <v>4.0569395017793601</v>
      </c>
      <c r="BI14" s="1198">
        <f>IF(ISNUMBER('Resol  Asuntos'!D14/NºAsuntos!G14),'Resol  Asuntos'!D14/NºAsuntos!G14," - ")</f>
        <v>0.27906976744186046</v>
      </c>
      <c r="BJ14" s="1198" t="str">
        <f>IF(ISNUMBER(Datos!CI14/Datos!CJ14),Datos!CI14/Datos!CJ14," - ")</f>
        <v xml:space="preserve"> - </v>
      </c>
      <c r="BK14" s="1198">
        <f>SUBTOTAL(9,BK8:BK13)</f>
        <v>0</v>
      </c>
      <c r="BL14" s="1198" t="str">
        <f>IF(ISNUMBER((I14-AB14+L14)/(F14)),(I14-AB14+L14)/(F14)," - ")</f>
        <v xml:space="preserve"> - </v>
      </c>
      <c r="BM14" s="1203">
        <f>SUBTOTAL(9,BM9:BM13)</f>
        <v>8.0118694362017809E-2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266</v>
      </c>
      <c r="G17" s="743">
        <f>IF(ISNUMBER(IF(D_I="SI",Datos!I17,Datos!I17+Datos!AC17)),IF(D_I="SI",Datos!I17,Datos!I17+Datos!AC17)," - ")</f>
        <v>266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178</v>
      </c>
      <c r="AC17" s="240">
        <f>IF(ISNUMBER(Datos!Q17),Datos!Q17," - ")</f>
        <v>7</v>
      </c>
      <c r="AD17" s="374"/>
      <c r="AE17" s="562"/>
      <c r="AF17" s="741">
        <f>IF(ISNUMBER(IF(D_I="SI",Datos!L17,Datos!L17+Datos!AF17)),IF(D_I="SI",Datos!L17,Datos!L17+Datos!AF17)," - ")</f>
        <v>293</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0.86829268292682926</v>
      </c>
      <c r="BH17" s="764">
        <f>IF(ISNUMBER(((IF(D_I="SI",Datos!L17/Datos!K17,(Datos!L17+Datos!AF17)/(Datos!K17+Datos!AE17)))*11)/factor_trimestre),((IF(D_I="SI",Datos!L17/Datos!K17,(Datos!L17+Datos!AF17)/(Datos!K17+Datos!AE17)))*11)/factor_trimestre," - ")</f>
        <v>4.9382022471910103</v>
      </c>
      <c r="BI17" s="266">
        <f>IF(ISNUMBER('Resol  Asuntos'!D17/NºAsuntos!G17),'Resol  Asuntos'!D17/NºAsuntos!G17," - ")</f>
        <v>0.19662921348314608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1.4285714285714286</v>
      </c>
      <c r="BH18" s="764">
        <f>IF(ISNUMBER(((IF(D_I="SI",Datos!L18/Datos!K18,(Datos!L18+Datos!AF18)/(Datos!K18+Datos!AE18)))*11)/factor_trimestre),((IF(D_I="SI",Datos!L18/Datos!K18,(Datos!L18+Datos!AF18)/(Datos!K18+Datos!AE18)))*11)/factor_trimestre," - ")</f>
        <v>6.8999999999999995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266</v>
      </c>
      <c r="G23" s="1197">
        <f>SUBTOTAL(9,G16:G22)</f>
        <v>292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188</v>
      </c>
      <c r="AC23" s="1198">
        <f t="shared" si="5"/>
        <v>7</v>
      </c>
      <c r="AD23" s="1198">
        <f t="shared" si="5"/>
        <v>0</v>
      </c>
      <c r="AE23" s="1198">
        <f t="shared" si="5"/>
        <v>0</v>
      </c>
      <c r="AF23" s="1198">
        <f t="shared" si="5"/>
        <v>316</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108</v>
      </c>
      <c r="BE23" s="1198">
        <f t="shared" si="5"/>
        <v>0</v>
      </c>
      <c r="BF23" s="1198">
        <f t="shared" si="5"/>
        <v>0</v>
      </c>
      <c r="BG23" s="1198">
        <f>IF(ISNUMBER(Datos!K23/Datos!J23),Datos!K23/Datos!J23," - ")</f>
        <v>0.8867924528301887</v>
      </c>
      <c r="BH23" s="1202">
        <f>IF(ISNUMBER(((Datos!L23/Datos!K23)*11)/factor_trimestre),((Datos!L23/Datos!K23)*11)/factor_trimestre," - ")</f>
        <v>5.042553191489362</v>
      </c>
      <c r="BI23" s="1198">
        <f>SUBTOTAL(9,BI16:BI22)</f>
        <v>0.19662921348314608</v>
      </c>
      <c r="BJ23" s="1198">
        <f>SUBTOTAL(9,BJ16:BJ22)</f>
        <v>0</v>
      </c>
      <c r="BK23" s="1198">
        <f>SUBTOTAL(9,BK16:BK22)</f>
        <v>0</v>
      </c>
      <c r="BL23" s="1198">
        <f>IF(ISNUMBER((I23-AB23+L23)/(F23)),(I23-AB23+L23)/(F23)," - ")</f>
        <v>-0.70676691729323304</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266</v>
      </c>
      <c r="G31" s="1117">
        <f t="shared" si="18"/>
        <v>292</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v>
      </c>
      <c r="AC31" s="1118">
        <f t="shared" si="19"/>
        <v>26</v>
      </c>
      <c r="AD31" s="1118">
        <f t="shared" si="19"/>
        <v>0</v>
      </c>
      <c r="AE31" s="1118">
        <f t="shared" si="19"/>
        <v>0</v>
      </c>
      <c r="AF31" s="1125">
        <f t="shared" si="19"/>
        <v>316</v>
      </c>
      <c r="AG31" s="1125">
        <f t="shared" si="19"/>
        <v>0</v>
      </c>
      <c r="AH31" s="1125">
        <f t="shared" si="19"/>
        <v>27</v>
      </c>
      <c r="AI31" s="1125">
        <f t="shared" si="19"/>
        <v>0</v>
      </c>
      <c r="AJ31" s="1118">
        <f t="shared" si="19"/>
        <v>0</v>
      </c>
      <c r="AK31" s="1125">
        <f t="shared" si="19"/>
        <v>0</v>
      </c>
      <c r="AL31" s="1125">
        <f t="shared" si="19"/>
        <v>0</v>
      </c>
      <c r="AM31" s="1125">
        <f t="shared" si="19"/>
        <v>771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129</v>
      </c>
      <c r="BE31" s="1117">
        <f t="shared" si="19"/>
        <v>0</v>
      </c>
      <c r="BF31" s="1127">
        <f t="shared" si="19"/>
        <v>0</v>
      </c>
      <c r="BG31" s="1223">
        <f>IF(ISNUMBER(Datos!K31/Datos!J31),Datos!K31/Datos!J31," - ")</f>
        <v>1.0492170022371365</v>
      </c>
      <c r="BH31" s="1223">
        <f>IF(ISNUMBER(((Datos!L31/Datos!K31)*11)/factor_trimestre),((Datos!L31/Datos!K31)*11)/factor_trimestre," - ")</f>
        <v>4.4520255863539449</v>
      </c>
      <c r="BI31" s="1103">
        <f>IF(ISNUMBER(Datos!J31/Datos!I31),Datos!J31/Datos!I31," - ")</f>
        <v>0.62256267409470756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-0.70676691729323304</v>
      </c>
      <c r="BM31" s="1188">
        <f>IF(ISNUMBER((Datos!P31-Datos!Q31+R31)/(Datos!R31-Datos!P31+Datos!Q31-R31)),(Datos!P31-Datos!Q31+R31)/(Datos!R31-Datos!P31+Datos!Q31-R31)," - ")</f>
        <v>8.134642356241234E-2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137.36180934548972</v>
      </c>
      <c r="G33" s="674">
        <f>IF(ISNUMBER(STDEV(G8:G30)),STDEV(G8:G30),"-")</f>
        <v>134.14775081088408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88.441533014216589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36.803532439155894</v>
      </c>
      <c r="BD33" s="673"/>
      <c r="BE33" s="673">
        <f>IF(ISNUMBER(STDEV(BE8:BE30)),STDEV(BE8:BE30),"-")</f>
        <v>0</v>
      </c>
      <c r="BF33" s="678">
        <f>IF(ISNUMBER(STDEV(BF8:BF30)),STDEV(BF8:BF30),"-")</f>
        <v>0</v>
      </c>
      <c r="BG33" s="1052">
        <f>IF(ISNUMBER(STDEV(BG8:BG30)),STDEV(BG8:BG30),"-")</f>
        <v>0.23249381251213708</v>
      </c>
      <c r="BH33" s="1058">
        <f>IF(ISNUMBER(STDEV(BH8:BH30)),STDEV(BH8:BH30),"-")</f>
        <v>1.1613805415666105</v>
      </c>
      <c r="BI33" s="273">
        <f>IF(ISNUMBER(STDEV(BI8:BI30)),STDEV(BI8:BI30),"-")</f>
        <v>0.11860259980430966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zvdpcYq8CPgJpMDxlcoAX2Sl4JSa5xUHz7wszNnZ/7pyzSNP1SWJ/Mg+qXQDn/k5gtz4l3P2XwEgifC5J165Q==" saltValue="x4CusJZhwcYFpA8mUzYE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BEJAR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728</v>
      </c>
      <c r="AF12" s="693" t="str">
        <f>IF(ISNUMBER(Datos!BV12),Datos!BV12," - ")</f>
        <v xml:space="preserve"> - </v>
      </c>
      <c r="AG12" s="552" t="str">
        <f>IF(ISNUMBER(Datos!DV12),Datos!DV12," - ")</f>
        <v xml:space="preserve"> - </v>
      </c>
      <c r="AH12" s="553"/>
      <c r="AI12" s="554"/>
      <c r="AJ12" s="552">
        <f>IF(ISNUMBER(Datos!M12),Datos!M12," - ")</f>
        <v>84</v>
      </c>
      <c r="AK12" s="693">
        <f>IF(ISNUMBER(Datos!N12),Datos!N12," - ")</f>
        <v>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4.0564784053156151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8.0118694362017809E-2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735</v>
      </c>
      <c r="AF14" s="1211">
        <f t="shared" si="3"/>
        <v>0</v>
      </c>
      <c r="AG14" s="1211">
        <f t="shared" si="3"/>
        <v>0</v>
      </c>
      <c r="AH14" s="1211">
        <f t="shared" si="3"/>
        <v>0</v>
      </c>
      <c r="AI14" s="1211">
        <f t="shared" si="3"/>
        <v>0</v>
      </c>
      <c r="AJ14" s="1211">
        <f t="shared" si="3"/>
        <v>84</v>
      </c>
      <c r="AK14" s="1211">
        <f t="shared" si="3"/>
        <v>21</v>
      </c>
      <c r="AL14" s="1211">
        <f t="shared" si="3"/>
        <v>0</v>
      </c>
      <c r="AM14" s="1211">
        <f t="shared" si="3"/>
        <v>0</v>
      </c>
      <c r="AN14" s="1211">
        <f t="shared" si="3"/>
        <v>0</v>
      </c>
      <c r="AO14" s="1203">
        <f>IF(ISNUMBER(((NºAsuntos!I14/NºAsuntos!G14)*11)/factor_trimestre),((NºAsuntos!I14/NºAsuntos!G14)*11)/factor_trimestre," - ")</f>
        <v>4.0564784053156151</v>
      </c>
      <c r="AP14" s="1213" t="str">
        <f>IF(ISNUMBER(Datos!CI14/Datos!CJ14),Datos!CI14/Datos!CJ14," - ")</f>
        <v xml:space="preserve"> - </v>
      </c>
      <c r="AQ14" s="1236">
        <f t="shared" ref="AQ14:AV14" si="4">SUBTOTAL(9,AQ9:AQ13)</f>
        <v>0</v>
      </c>
      <c r="AR14" s="1236">
        <f t="shared" si="4"/>
        <v>8.0118694362017809E-2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266</v>
      </c>
      <c r="G17" s="552">
        <f>IF(ISNUMBER(IF(D_I="SI",Datos!I17,Datos!I17+Datos!AC17)),IF(D_I="SI",Datos!I17,Datos!I17+Datos!AC17)," - ")</f>
        <v>266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178</v>
      </c>
      <c r="Z17" s="805">
        <f>IF(ISNUMBER(Datos!Q17),Datos!Q17," - ")</f>
        <v>7</v>
      </c>
      <c r="AA17" s="551">
        <f>IF(ISNUMBER(IF(D_I="SI",Datos!L17,Datos!L17+Datos!AF17)),IF(D_I="SI",Datos!L17,Datos!L17+Datos!AF17)," - ")</f>
        <v>293</v>
      </c>
      <c r="AB17" s="549"/>
      <c r="AC17" s="549"/>
      <c r="AD17" s="563"/>
      <c r="AE17" s="563">
        <f>IF(ISNUMBER(Datos!R17),Datos!R17," - ")</f>
        <v>36</v>
      </c>
      <c r="AF17" s="693" t="str">
        <f>IF(ISNUMBER(Datos!BV17),Datos!BV17," - ")</f>
        <v xml:space="preserve"> - </v>
      </c>
      <c r="AG17" s="552"/>
      <c r="AH17" s="553"/>
      <c r="AI17" s="554"/>
      <c r="AJ17" s="552">
        <f>IF(ISNUMBER(Datos!M17),Datos!M17," - ")</f>
        <v>35</v>
      </c>
      <c r="AK17" s="693">
        <f>IF(ISNUMBER(Datos!N17),Datos!N17," - ")</f>
        <v>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4.9382022471910103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6.8999999999999995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266</v>
      </c>
      <c r="G23" s="1197">
        <f>SUBTOTAL(9,G16:G22)</f>
        <v>292</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188</v>
      </c>
      <c r="Z23" s="1240">
        <f t="shared" si="6"/>
        <v>7</v>
      </c>
      <c r="AA23" s="1240">
        <f t="shared" si="6"/>
        <v>316</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35</v>
      </c>
      <c r="AK23" s="1240">
        <f t="shared" si="6"/>
        <v>108</v>
      </c>
      <c r="AL23" s="1240">
        <f t="shared" si="6"/>
        <v>0</v>
      </c>
      <c r="AM23" s="1240">
        <f t="shared" si="6"/>
        <v>0</v>
      </c>
      <c r="AN23" s="1240">
        <f t="shared" si="6"/>
        <v>0</v>
      </c>
      <c r="AO23" s="1242">
        <f>IF(ISNUMBER(((NºAsuntos!I23/NºAsuntos!G23)*11)/factor_trimestre),((NºAsuntos!I23/NºAsuntos!G23)*11)/factor_trimestre," - ")</f>
        <v>5.042553191489362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266</v>
      </c>
      <c r="G31" s="1117">
        <f t="shared" si="12"/>
        <v>292</v>
      </c>
      <c r="H31" s="1118">
        <f t="shared" si="12"/>
        <v>0</v>
      </c>
      <c r="I31" s="1117">
        <f t="shared" si="12"/>
        <v>0</v>
      </c>
      <c r="J31" s="1119">
        <f t="shared" si="12"/>
        <v>0</v>
      </c>
      <c r="K31" s="1117">
        <f t="shared" si="12"/>
        <v>0</v>
      </c>
      <c r="L31" s="1120">
        <f t="shared" si="12"/>
        <v>0</v>
      </c>
      <c r="M31" s="1117">
        <f t="shared" si="12"/>
        <v>0</v>
      </c>
      <c r="N31" s="1118">
        <f t="shared" si="12"/>
        <v>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v>
      </c>
      <c r="Z31" s="1124">
        <f t="shared" si="13"/>
        <v>26</v>
      </c>
      <c r="AA31" s="1125">
        <f t="shared" si="13"/>
        <v>316</v>
      </c>
      <c r="AB31" s="1125">
        <f t="shared" si="13"/>
        <v>0</v>
      </c>
      <c r="AC31" s="1125">
        <f t="shared" si="13"/>
        <v>0</v>
      </c>
      <c r="AD31" s="1126">
        <f t="shared" si="13"/>
        <v>0</v>
      </c>
      <c r="AE31" s="1126">
        <f t="shared" si="13"/>
        <v>771</v>
      </c>
      <c r="AF31" s="1127">
        <f t="shared" si="13"/>
        <v>0</v>
      </c>
      <c r="AG31" s="1128">
        <f t="shared" si="13"/>
        <v>0</v>
      </c>
      <c r="AH31" s="1129">
        <f t="shared" si="13"/>
        <v>0</v>
      </c>
      <c r="AI31" s="1127">
        <f t="shared" si="13"/>
        <v>0</v>
      </c>
      <c r="AJ31" s="1117">
        <f t="shared" si="13"/>
        <v>119</v>
      </c>
      <c r="AK31" s="1117">
        <f t="shared" si="13"/>
        <v>129</v>
      </c>
      <c r="AL31" s="1117">
        <f t="shared" si="13"/>
        <v>0</v>
      </c>
      <c r="AM31" s="1130">
        <f t="shared" si="13"/>
        <v>0</v>
      </c>
      <c r="AN31" s="1120">
        <f>IF(ISNUMBER(Datos!K31/Datos!J31),Datos!K31/Datos!J31," - ")</f>
        <v>1.0492170022371365</v>
      </c>
      <c r="AO31" s="1120">
        <f>IF(ISNUMBER(FIND("06",Criterios!A8,1)),(IF(ISNUMBER(((Datos!R31/Datos!Q31)*11)/factor_trimestre),((Datos!R31/Datos!Q31)*11)/factor_trimestre," - ")),(IF(ISNUMBER(((Datos!L31/Datos!K31)*11)/factor_trimestre),((Datos!L31/Datos!K31)*11)/factor_trimestre," - ")))</f>
        <v>4.4520255863539449</v>
      </c>
      <c r="AP31" s="1131" t="str">
        <f>IF(ISNUMBER(Datos!CI31/Datos!CJ31),Datos!CI31/Datos!CJ31," - ")</f>
        <v xml:space="preserve"> - </v>
      </c>
      <c r="AQ31" s="1131">
        <f>IF(OR(ISNUMBER(FIND("01",Criterios!A8,1)),ISNUMBER(FIND("02",Criterios!A8,1)),ISNUMBER(FIND("03",Criterios!A8,1)),ISNUMBER(FIND("04",Criterios!A8,1))),(J31-Y31+K31)/(F31-K31),(I31-Y31+K31)/(F31-K31))</f>
        <v>-0.70676691729323304</v>
      </c>
      <c r="AR31" s="1131">
        <f>IF(ISNUMBER((Datos!P31-Datos!Q31+O31)/(Datos!R31-Datos!P31+Datos!Q31-O31)),(Datos!P31-Datos!Q31+O31)/(Datos!R31-Datos!P31+Datos!Q31-O31)," - ")</f>
        <v>8.134642356241234E-2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137.36180934548972</v>
      </c>
      <c r="G33" s="674">
        <f>IF(ISNUMBER(STDEV(G8:G30)),STDEV(G8:G30),"-")</f>
        <v>134.14775081088408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36.803532439155894</v>
      </c>
      <c r="AK33" s="276"/>
      <c r="AL33" s="276">
        <f>IF(ISNUMBER(STDEV(AL8:AL30)),STDEV(AL8:AL30),"-")</f>
        <v>0</v>
      </c>
      <c r="AM33" s="278">
        <f>IF(ISNUMBER(STDEV(AM8:AM30)),STDEV(AM8:AM30),"-")</f>
        <v>0</v>
      </c>
      <c r="AN33" s="660">
        <f>IF(ISNUMBER(STDEV(AN8:AN30)),STDEV(AN8:AN30),"-")</f>
        <v>0</v>
      </c>
      <c r="AO33" s="661">
        <f>IF(ISNUMBER(STDEV(AO8:AO30)),STDEV(AO8:AO30),"-")</f>
        <v>1.161474044960539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6OHMw3DIdZeRnKUkZY9ws+9xIJFQS+WQeSQ2eK6luK+Lruov8l6FBio4dwLP9MM9XrdiVEFisa+kP6f2aWG6A==" saltValue="fUEfk8wFf15b2aCw2Yiu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qrphSo+8uumvBTuQzyKROBC9KiSq8n3+7WbeTM0sTADlB5d9JHDLNN3YqmWFaGN/KRYDoE90iTIV9JiifmHwA==" saltValue="2uMsMI2ehMsYGLgO6RYT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Ct7eKp95L4dnJPMVD5v2pdGQch80iT6sqcHYh0N8XlmqDdJIgG4gDyeB6W2ywdwbft1GvSEIwY9ugBPLlOpAQ==" saltValue="0I5Nl6Kczi+c9Nox7Zbv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BEJAR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0.27906976744186046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0.19733212498229233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u65PUNXWT3ZtawF5/dJzbs7VuELtmf6XZvxSxyKyb41DhENgy8CFuWQTpF1qm28tJGhrjYJsidVjYk7j28VRg==" saltValue="e/pDPv3Ytg++/ePrwC87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52PuKsESn5K07qBgu+tAf2Wq2jySIlc2u0gbd+LPKyeUSNeYvqblSr2T24bAuXjA0Uu2Ucr5LTw+WSFYgK2Q==" saltValue="G49z3jp8NpaMtlkmicC5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BEJAR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435</v>
      </c>
      <c r="D12" s="452">
        <f>IF(ISNUMBER(C12/Datos!BH12),C12/Datos!BH12," - ")</f>
        <v>217.5</v>
      </c>
      <c r="E12" s="451">
        <f>IF(ISNUMBER(IF(J_V="SI",Datos!J12,Datos!J12+Datos!Z12)),IF(J_V="SI",Datos!J12,Datos!J12+Datos!Z12)," - ")</f>
        <v>273</v>
      </c>
      <c r="F12" s="452">
        <f>IF(ISNUMBER(E12/B12),E12/B12," - ")</f>
        <v>136.5</v>
      </c>
      <c r="G12" s="451">
        <f>IF(ISNUMBER(IF(J_V="SI",Datos!K12,Datos!K12+Datos!AA12)),IF(J_V="SI",Datos!K12,Datos!K12+Datos!AA12)," - ")</f>
        <v>301</v>
      </c>
      <c r="H12" s="452">
        <f>IF(ISNUMBER(G12/B12),G12/B12," - ")</f>
        <v>150.5</v>
      </c>
      <c r="I12" s="451">
        <f>IF(ISNUMBER(IF(J_V="SI",Datos!L12,Datos!L12+Datos!AB12)),IF(J_V="SI",Datos!L12,Datos!L12+Datos!AB12)," - ")</f>
        <v>407</v>
      </c>
      <c r="J12" s="452">
        <f>IF(ISNUMBER(I12/B12),I12/B12," - ")</f>
        <v>203.5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435</v>
      </c>
      <c r="D14" s="1147" t="str">
        <f>IF(ISNUMBER(C14/Datos!BI14),C14/Datos!BI14," - ")</f>
        <v xml:space="preserve"> - </v>
      </c>
      <c r="E14" s="1146">
        <f>SUBTOTAL(9,E8:E13)</f>
        <v>273</v>
      </c>
      <c r="F14" s="1147">
        <f>IF(ISNUMBER(E14/B14),E14/B14," - ")</f>
        <v>136.5</v>
      </c>
      <c r="G14" s="1146">
        <f>SUBTOTAL(9,G8:G13)</f>
        <v>301</v>
      </c>
      <c r="H14" s="1147">
        <f>IF(ISNUMBER(G14/B14),G14/B14," - ")</f>
        <v>150.5</v>
      </c>
      <c r="I14" s="1146">
        <f>SUBTOTAL(9,I8:I13)</f>
        <v>407</v>
      </c>
      <c r="J14" s="1147">
        <f>IF(ISNUMBER(I14/B14),I14/B14," - ")</f>
        <v>203.5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266</v>
      </c>
      <c r="D17" s="452">
        <f>IF(ISNUMBER(C17/Datos!BH17),C17/Datos!BH17," - ")</f>
        <v>133</v>
      </c>
      <c r="E17" s="451">
        <f>IF(ISNUMBER(IF(D_I="SI",Datos!J17,Datos!J17+Datos!AD17)),IF(D_I="SI",Datos!J17,Datos!J17+Datos!AD17)," - ")</f>
        <v>205</v>
      </c>
      <c r="F17" s="452">
        <f>IF(ISNUMBER(E17/B17),E17/B17," - ")</f>
        <v>102.5</v>
      </c>
      <c r="G17" s="451">
        <f>IF(ISNUMBER(IF(D_I="SI",Datos!K17,Datos!K17+Datos!AE17)),IF(D_I="SI",Datos!K17,Datos!K17+Datos!AE17)," - ")</f>
        <v>178</v>
      </c>
      <c r="H17" s="452">
        <f>IF(ISNUMBER(G17/B17),G17/B17," - ")</f>
        <v>89</v>
      </c>
      <c r="I17" s="451">
        <f>IF(ISNUMBER(IF(D_I="SI",Datos!L17,Datos!L17+Datos!AF17)),IF(D_I="SI",Datos!L17,Datos!L17+Datos!AF17)," - ")</f>
        <v>293</v>
      </c>
      <c r="J17" s="452">
        <f>IF(ISNUMBER(I17/B17),I17/B17," - ")</f>
        <v>146.5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7</v>
      </c>
      <c r="F18" s="452">
        <f>IF(ISNUMBER(E18/B18),E18/B18," - ")</f>
        <v>7</v>
      </c>
      <c r="G18" s="451">
        <f>IF(ISNUMBER(IF(D_I="SI",Datos!K18,Datos!K18+Datos!AE18)),IF(D_I="SI",Datos!K18,Datos!K18+Datos!AE18)," - ")</f>
        <v>10</v>
      </c>
      <c r="H18" s="452">
        <f>IF(ISNUMBER(G18/B18),G18/B18," - ")</f>
        <v>10</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292</v>
      </c>
      <c r="D23" s="1147" t="str">
        <f>IF(ISNUMBER(C23/Datos!BI23),C23/Datos!BI23," - ")</f>
        <v xml:space="preserve"> - </v>
      </c>
      <c r="E23" s="1146">
        <f>SUBTOTAL(9,E15:E22)</f>
        <v>212</v>
      </c>
      <c r="F23" s="1147">
        <f>IF(ISNUMBER(E23/B23),E23/B23," - ")</f>
        <v>106</v>
      </c>
      <c r="G23" s="1146">
        <f>SUBTOTAL(9,G15:G22)</f>
        <v>188</v>
      </c>
      <c r="H23" s="1147">
        <f>IF(ISNUMBER(G23/B23),G23/B23," - ")</f>
        <v>94</v>
      </c>
      <c r="I23" s="1146">
        <f>SUBTOTAL(9,I15:I22)</f>
        <v>316</v>
      </c>
      <c r="J23" s="1147">
        <f>IF(ISNUMBER(I23/B23),I23/B23," - ")</f>
        <v>158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727</v>
      </c>
      <c r="D31" s="1085" t="str">
        <f>IF(ISNUMBER(C31/Datos!BI31),C31/Datos!BI31," - ")</f>
        <v xml:space="preserve"> - </v>
      </c>
      <c r="E31" s="1084">
        <f>SUBTOTAL(9,E9:E30)</f>
        <v>485</v>
      </c>
      <c r="F31" s="1085">
        <f>IF(ISNUMBER(E31/B31),E31/B31," - ")</f>
        <v>242.5</v>
      </c>
      <c r="G31" s="1084">
        <f>SUBTOTAL(9,G9:G30)</f>
        <v>489</v>
      </c>
      <c r="H31" s="1085">
        <f>IF(ISNUMBER(G31/B31),G31/B31," - ")</f>
        <v>244.5</v>
      </c>
      <c r="I31" s="1084">
        <f>SUBTOTAL(9,I9:I30)</f>
        <v>723</v>
      </c>
      <c r="J31" s="1085">
        <f>IF(ISNUMBER(I31/B31),I31/B31," - ")</f>
        <v>361.5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Vd1dQN9zrjWNXZptGPrSvvwEF2jf7nFMSQ5DA7pMNXtTXMnhAkBL+R+uqKBRcEWre5UVWzaL23be7num7UXTQ==" saltValue="xA7aGE9UlXfYGZlNS5wy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BEJAR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84</v>
      </c>
      <c r="AM12" s="914">
        <f>IF(ISNUMBER(Datos!N12+DatosP!N17),Datos!N12+DatosP!N17," - ")</f>
        <v>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4.0564784053156151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8.0118694362017809E-2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728</v>
      </c>
      <c r="AI14" s="1257">
        <f t="shared" si="1"/>
        <v>0</v>
      </c>
      <c r="AJ14" s="1257">
        <f t="shared" si="1"/>
        <v>0</v>
      </c>
      <c r="AK14" s="1257">
        <f t="shared" si="1"/>
        <v>0</v>
      </c>
      <c r="AL14" s="1257">
        <f t="shared" si="1"/>
        <v>84</v>
      </c>
      <c r="AM14" s="1257">
        <f t="shared" si="1"/>
        <v>21</v>
      </c>
      <c r="AN14" s="1257">
        <f t="shared" si="1"/>
        <v>0</v>
      </c>
      <c r="AO14" s="1257">
        <f t="shared" si="1"/>
        <v>0</v>
      </c>
      <c r="AP14" s="1262">
        <f>IF(ISNUMBER(((Datos!L14/Datos!K14)*11)/factor_trimestre),((Datos!L14/Datos!K14)*11)/factor_trimestre," - ")</f>
        <v>4.0569395017793601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8.0118694362017809E-2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5.042553191489362</v>
      </c>
      <c r="AQ23" s="1262">
        <f>IF(ISNUMBER(((Datos!M23/Datos!L23)*11)/factor_trimestre),((Datos!M23/Datos!L23)*11)/factor_trimestre," - ")</f>
        <v>0.33227848101265822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-9.2356687898089165E-2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728</v>
      </c>
      <c r="AI31" s="1285">
        <f t="shared" si="9"/>
        <v>0</v>
      </c>
      <c r="AJ31" s="1286">
        <f t="shared" si="9"/>
        <v>0</v>
      </c>
      <c r="AK31" s="1286">
        <f t="shared" si="9"/>
        <v>0</v>
      </c>
      <c r="AL31" s="1278">
        <f t="shared" si="9"/>
        <v>84</v>
      </c>
      <c r="AM31" s="1278">
        <f t="shared" si="9"/>
        <v>21</v>
      </c>
      <c r="AN31" s="1278">
        <f t="shared" si="9"/>
        <v>0</v>
      </c>
      <c r="AO31" s="1278">
        <f t="shared" si="9"/>
        <v>0</v>
      </c>
      <c r="AP31" s="1278">
        <f>IF(ISNUMBER(((Datos!L31/Datos!K31)*11)/factor_trimestre),((Datos!L31/Datos!K31)*11)/factor_trimestre," - ")</f>
        <v>4.4520255863539449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8.134642356241234E-2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43.377413477523071</v>
      </c>
      <c r="AM33" s="1006"/>
      <c r="AN33" s="1006">
        <f>IF(ISNUMBER(STDEV(AN8:AN30)),STDEV(AN8:AN30),"-")</f>
        <v>0</v>
      </c>
      <c r="AO33" s="1012">
        <f>IF(ISNUMBER(STDEV(AO8:AO30)),STDEV(AO8:AO30),"-")</f>
        <v>0</v>
      </c>
      <c r="AP33" s="1065">
        <f>IF(ISNUMBER(STDEV(AP8:AP30)),STDEV(AP8:AP30),"-")</f>
        <v>0.5691774828471442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Q0i4aHp3pR0Rik3XiTjd6nt0CGw+Xc9VhosNS662DpXCtv0LGpZAWhzlNCGAfpHiaYgVJvHhbUGCT5O2/4bWg==" saltValue="J2/lgaLKhYoxuiYQmYSC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BEJAR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1UJPeefk58VY/pBqGnHwkM3jD/ilUxopUhp/QlUHkes5kB/nNDIyFPAf5Xdpw4rTUDFPDqYHCBnuIiMExi8Uw==" saltValue="eMScXEmzl39wNqOexEaU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BEJAR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84</v>
      </c>
      <c r="E12" s="452">
        <f t="shared" si="0"/>
        <v>42</v>
      </c>
      <c r="F12" s="451">
        <f>IF(ISNUMBER(Datos!N12),Datos!N12," - ")</f>
        <v>21</v>
      </c>
      <c r="G12" s="452">
        <f t="shared" si="1"/>
        <v>10.5</v>
      </c>
      <c r="H12" s="451">
        <f>IF(ISNUMBER(Datos!O12),Datos!O12," - ")</f>
        <v>5</v>
      </c>
      <c r="I12" s="452">
        <f t="shared" si="2"/>
        <v>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21</v>
      </c>
      <c r="G14" s="1147">
        <f t="shared" si="1"/>
        <v>7</v>
      </c>
      <c r="H14" s="1146">
        <f>SUBTOTAL(9,H9:H13)</f>
        <v>5</v>
      </c>
      <c r="I14" s="1147">
        <f>IF(ISNUMBER(H14/B14),H14/B14," - ")</f>
        <v>1.6666666666666667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99</v>
      </c>
      <c r="G17" s="452">
        <f t="shared" si="4"/>
        <v>49.5</v>
      </c>
      <c r="H17" s="451">
        <f>IF(ISNUMBER(Datos!O17),Datos!O17," - ")</f>
        <v>4</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108</v>
      </c>
      <c r="G23" s="1147">
        <f t="shared" si="4"/>
        <v>36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129</v>
      </c>
      <c r="G31" s="1085">
        <f>IF(ISNUMBER(F31/B31),F31/B31," - ")</f>
        <v>64.5</v>
      </c>
      <c r="H31" s="1084">
        <f>SUBTOTAL(9,H8:H30)</f>
        <v>9</v>
      </c>
      <c r="I31" s="1085">
        <f>IF(ISNUMBER(H31/B31),H31/B31," - ")</f>
        <v>4.5</v>
      </c>
    </row>
    <row r="34" spans="1:1">
      <c r="A34" s="439" t="str">
        <f>Criterios!A4</f>
        <v>Fecha Informe: 05 may. 2023</v>
      </c>
    </row>
    <row r="39" spans="1:1">
      <c r="A39" s="462"/>
    </row>
  </sheetData>
  <sheetProtection algorithmName="SHA-512" hashValue="Kn+sNYw3H6KjS3KoUadsLkpzl/aN0dE3cGrwYOAiP+2EmVyyY20mF3CZ2qcYQD04UTGq7yBbvq9VtKGeCO3fVA==" saltValue="G2cbvWYrIAwMtKydruZd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BEJAR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v>
      </c>
      <c r="C12" s="489">
        <f>IF(ISNUMBER(Datos!Q12),Datos!Q12," - ")</f>
        <v>19</v>
      </c>
      <c r="D12" s="456">
        <f>IF(ISNUMBER(Datos!R12),Datos!R12," - ")</f>
        <v>728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19</v>
      </c>
      <c r="D14" s="1148">
        <f>SUBTOTAL(9,D9:D13)</f>
        <v>735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7</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v>
      </c>
      <c r="C31" s="1089">
        <f>SUBTOTAL(9,C8:C30)</f>
        <v>26</v>
      </c>
      <c r="D31" s="1090">
        <f>SUBTOTAL(9,D8:D30)</f>
        <v>771</v>
      </c>
    </row>
    <row r="32" spans="1:4" ht="7.5" customHeight="1"/>
    <row r="33" spans="1:1" ht="6" customHeight="1"/>
    <row r="34" spans="1:1">
      <c r="A34" s="439" t="str">
        <f>Criterios!A4</f>
        <v>Fecha Informe: 05 may. 2023</v>
      </c>
    </row>
    <row r="39" spans="1:1">
      <c r="A39" s="462"/>
    </row>
  </sheetData>
  <sheetProtection algorithmName="SHA-512" hashValue="d5eSrZMTPD0Vcl5XkGVo738bu83ZzckZL2vexpmM9Ur3QvTPScSn60mZrtfDZCBBxfKc0W3lT2/gMGFi7ZRxrQ==" saltValue="52i7/32E2mH46MOMNbnD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BEJAR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-0.10309278350515463</v>
      </c>
      <c r="C12" s="515">
        <f>IF(ISNUMBER(
   IF(J_V="SI",(Datos!J12-Datos!T12)/Datos!T12,(Datos!J12+Datos!Z12-(Datos!T12+Datos!AH12))/(Datos!T12+Datos!AH12))
     ),IF(J_V="SI",(Datos!J12-Datos!T12)/Datos!T12,(Datos!J12+Datos!Z12-(Datos!T12+Datos!AH12))/(Datos!T12+Datos!AH12))," - ")</f>
        <v>0.33823529411764708</v>
      </c>
      <c r="D12" s="515">
        <f>IF(ISNUMBER(
   IF(J_V="SI",(Datos!K12-Datos!U12)/Datos!U12,(Datos!K12+Datos!AA12-(Datos!U12+Datos!AI12))/(Datos!U12+Datos!AI12))
     ),IF(J_V="SI",(Datos!K12-Datos!U12)/Datos!U12,(Datos!K12+Datos!AA12-(Datos!U12+Datos!AI12))/(Datos!U12+Datos!AI12))," - ")</f>
        <v>0.21370967741935484</v>
      </c>
      <c r="E12" s="515">
        <f>IF(ISNUMBER(
   IF(J_V="SI",(Datos!L12-Datos!V12)/Datos!V12,(Datos!L12+Datos!AB12-(Datos!V12+Datos!AJ12))/(Datos!V12+Datos!AJ12))
     ),IF(J_V="SI",(Datos!L12-Datos!V12)/Datos!V12,(Datos!L12+Datos!AB12-(Datos!V12+Datos!AJ12))/(Datos!V12+Datos!AJ12))," - ")</f>
        <v>-7.0776255707762553E-2</v>
      </c>
      <c r="F12" s="515">
        <f>IF(ISNUMBER((Datos!M12-Datos!W12)/Datos!W12),(Datos!M12-Datos!W12)/Datos!W12," - ")</f>
        <v>0.44827586206896552</v>
      </c>
      <c r="G12" s="516">
        <f>IF(ISNUMBER((Datos!N12-Datos!X12)/Datos!X12),(Datos!N12-Datos!X12)/Datos!X12," - ")</f>
        <v>-0.76666666666666672</v>
      </c>
      <c r="H12" s="514">
        <f>IF(ISNUMBER(((NºAsuntos!G12/NºAsuntos!E12)-Datos!BD12)/Datos!BD12),((NºAsuntos!G12/NºAsuntos!E12)-Datos!BD12)/Datos!BD12," - ")</f>
        <v>-9.3052109181141304E-2</v>
      </c>
      <c r="I12" s="515">
        <f>IF(ISNUMBER(((NºAsuntos!I12/NºAsuntos!G12)-Datos!BE12)/Datos!BE12),((NºAsuntos!I12/NºAsuntos!G12)-Datos!BE12)/Datos!BE12," - ")</f>
        <v>-0.23439372563297375</v>
      </c>
      <c r="J12" s="521">
        <f>IF(ISNUMBER((('Resol  Asuntos'!D12/NºAsuntos!G12)-Datos!BF12)/Datos!BF12),(('Resol  Asuntos'!D12/NºAsuntos!G12)-Datos!BF12)/Datos!BF12," - ")</f>
        <v>-0.23100775193798453</v>
      </c>
      <c r="K12" s="522">
        <f>IF(ISNUMBER((((NºAsuntos!C12+NºAsuntos!E12)/NºAsuntos!G12)-Datos!BG12)/Datos!BG12),(((NºAsuntos!C12+NºAsuntos!E12)/NºAsuntos!G12)-Datos!BG12)/Datos!BG12," - ")</f>
        <v>-0.15335914633852332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-0.10677618069815195</v>
      </c>
      <c r="C14" s="1152">
        <f>IF(ISNUMBER(
   IF(J_V="SI",(Datos!J14-Datos!T14)/Datos!T14,(Datos!J14+Datos!Z14-(Datos!T14+Datos!AH14))/(Datos!T14+Datos!AH14))
     ),IF(J_V="SI",(Datos!J14-Datos!T14)/Datos!T14,(Datos!J14+Datos!Z14-(Datos!T14+Datos!AH14))/(Datos!T14+Datos!AH14))," - ")</f>
        <v>0.33170731707317075</v>
      </c>
      <c r="D14" s="1152">
        <f>IF(ISNUMBER(
   IF(J_V="SI",(Datos!K14-Datos!U14)/Datos!U14,(Datos!K14+Datos!AA14-(Datos!U14+Datos!AI14))/(Datos!U14+Datos!AI14))
     ),IF(J_V="SI",(Datos!K14-Datos!U14)/Datos!U14,(Datos!K14+Datos!AA14-(Datos!U14+Datos!AI14))/(Datos!U14+Datos!AI14))," - ")</f>
        <v>0.21370967741935484</v>
      </c>
      <c r="E14" s="1152">
        <f>IF(ISNUMBER(
   IF(J_V="SI",(Datos!L14-Datos!V14)/Datos!V14,(Datos!L14+Datos!AB14-(Datos!V14+Datos!AJ14))/(Datos!V14+Datos!AJ14))
     ),IF(J_V="SI",(Datos!L14-Datos!V14)/Datos!V14,(Datos!L14+Datos!AB14-(Datos!V14+Datos!AJ14))/(Datos!V14+Datos!AJ14))," - ")</f>
        <v>-7.7097505668934238E-2</v>
      </c>
      <c r="F14" s="1153">
        <f>IF(ISNUMBER((Datos!M14-Datos!W14)/Datos!W14),(Datos!M14-Datos!W14)/Datos!W14," - ")</f>
        <v>0.44827586206896552</v>
      </c>
      <c r="G14" s="1154">
        <f>IF(ISNUMBER((Datos!N14-Datos!X14)/Datos!X14),(Datos!N14-Datos!X14)/Datos!X14," - ")</f>
        <v>-0.76666666666666672</v>
      </c>
      <c r="H14" s="1154">
        <f>IF(ISNUMBER(((NºAsuntos!G14/NºAsuntos!E14)-Datos!BD14)/Datos!BD14),((NºAsuntos!G14/NºAsuntos!E14)-Datos!BD14)/Datos!BD14," - ")</f>
        <v>-8.8606286186931255E-2</v>
      </c>
      <c r="I14" s="1154">
        <f>IF(ISNUMBER(((NºAsuntos!I14/NºAsuntos!G14)-Datos!BE14)/Datos!BE14),((NºAsuntos!I14/NºAsuntos!G14)-Datos!BE14)/Datos!BE14," - ")</f>
        <v>-0.23960193158104881</v>
      </c>
      <c r="J14" s="1154">
        <f>IF(ISNUMBER((('Resol  Asuntos'!D14/NºAsuntos!G14)-Datos!BF14)/Datos!BF14),(('Resol  Asuntos'!D14/NºAsuntos!G14)-Datos!BF14)/Datos!BF14," - ")</f>
        <v>-0.23100775193798453</v>
      </c>
      <c r="K14" s="1154">
        <f>IF(ISNUMBER((((NºAsuntos!C14+NºAsuntos!E14)/NºAsuntos!G14)-Datos!BG14)/Datos!BG14),(((NºAsuntos!C14+NºAsuntos!E14)/NºAsuntos!G14)-Datos!BG14)/Datos!BG14," - ")</f>
        <v>-0.15702955466364538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1.5267175572519083E-2</v>
      </c>
      <c r="C17" s="515">
        <f>IF(ISNUMBER(
   IF(D_I="SI",(Datos!J17-Datos!T17)/Datos!T17,(Datos!J17+Datos!AD17-(Datos!T17+Datos!AL17))/(Datos!T17+Datos!AL17))
     ),IF(D_I="SI",(Datos!J17-Datos!T17)/Datos!T17,(Datos!J17+Datos!AD17-(Datos!T17+Datos!AL17))/(Datos!T17+Datos!AL17))," - ")</f>
        <v>0.27329192546583853</v>
      </c>
      <c r="D17" s="515">
        <f>IF(ISNUMBER(
   IF(D_I="SI",(Datos!K17-Datos!U17)/Datos!U17,(Datos!K17+Datos!AE17-(Datos!U17+Datos!AM17))/(Datos!U17+Datos!AM17))
     ),IF(D_I="SI",(Datos!K17-Datos!U17)/Datos!U17,(Datos!K17+Datos!AE17-(Datos!U17+Datos!AM17))/(Datos!U17+Datos!AM17))," - ")</f>
        <v>-5.8201058201058198E-2</v>
      </c>
      <c r="E17" s="515">
        <f>IF(ISNUMBER(
   IF(D_I="SI",(Datos!L17-Datos!V17)/Datos!V17,(Datos!L17+Datos!AF17-(Datos!V17+Datos!AN17))/(Datos!V17+Datos!AN17))
     ),IF(D_I="SI",(Datos!L17-Datos!V17)/Datos!V17,(Datos!L17+Datos!AF17-(Datos!V17+Datos!AN17))/(Datos!V17+Datos!AN17))," - ")</f>
        <v>0.25213675213675213</v>
      </c>
      <c r="F17" s="515">
        <f>IF(ISNUMBER((Datos!M17-Datos!W17)/Datos!W17),(Datos!M17-Datos!W17)/Datos!W17," - ")</f>
        <v>-2.7777777777777776E-2</v>
      </c>
      <c r="G17" s="516">
        <f>IF(ISNUMBER((Datos!N17-Datos!X17)/Datos!X17),(Datos!N17-Datos!X17)/Datos!X17," - ")</f>
        <v>0.1</v>
      </c>
      <c r="H17" s="514">
        <f>IF(ISNUMBER(((NºAsuntos!G17/NºAsuntos!E17)-Datos!BD17)/Datos!BD17),((NºAsuntos!G17/NºAsuntos!E17)-Datos!BD17)/Datos!BD17," - ")</f>
        <v>-0.26034327009936775</v>
      </c>
      <c r="I17" s="515">
        <f>IF(ISNUMBER(((NºAsuntos!I17/NºAsuntos!G17)-Datos!BE17)/Datos!BE17),((NºAsuntos!I17/NºAsuntos!G17)-Datos!BE17)/Datos!BE17," - ")</f>
        <v>0.32951598962834905</v>
      </c>
      <c r="J17" s="521">
        <f>IF(ISNUMBER((('Resol  Asuntos'!D17/NºAsuntos!G17)-Datos!BF17)/Datos!BF17),(('Resol  Asuntos'!D17/NºAsuntos!G17)-Datos!BF17)/Datos!BF17," - ")</f>
        <v>3.2303370786516954E-2</v>
      </c>
      <c r="K17" s="522">
        <f>IF(ISNUMBER((((NºAsuntos!C17+NºAsuntos!E17)/NºAsuntos!G17)-Datos!BG17)/Datos!BG17),(((NºAsuntos!C17+NºAsuntos!E17)/NºAsuntos!G17)-Datos!BG17)/Datos!BG17," - ")</f>
        <v>0.18228544107100172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0.13043478260869565</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9.5238095238095233E-2</v>
      </c>
      <c r="F18" s="515">
        <f>IF(ISNUMBER((Datos!M18-Datos!W18)/Datos!W18),(Datos!M18-Datos!W18)/Datos!W18," - ")</f>
        <v>-1</v>
      </c>
      <c r="G18" s="516">
        <f>IF(ISNUMBER((Datos!N18-Datos!X18)/Datos!X18),(Datos!N18-Datos!X18)/Datos!X18," - ")</f>
        <v>8</v>
      </c>
      <c r="H18" s="514">
        <f>IF(ISNUMBER(((NºAsuntos!G18/NºAsuntos!E18)-Datos!BD18)/Datos!BD18),((NºAsuntos!G18/NºAsuntos!E18)-Datos!BD18)/Datos!BD18," - ")</f>
        <v>0.16883116883116878</v>
      </c>
      <c r="I18" s="515">
        <f>IF(ISNUMBER(((NºAsuntos!I18/NºAsuntos!G18)-Datos!BE18)/Datos!BE18),((NºAsuntos!I18/NºAsuntos!G18)-Datos!BE18)/Datos!BE18," - ")</f>
        <v>0.20476190476190462</v>
      </c>
      <c r="J18" s="521">
        <f>IF(ISNUMBER((('Resol  Asuntos'!D18/NºAsuntos!G18)-Datos!BF18)/Datos!BF18),(('Resol  Asuntos'!D18/NºAsuntos!G18)-Datos!BF18)/Datos!BF18," - ")</f>
        <v>-1</v>
      </c>
      <c r="K18" s="522">
        <f>IF(ISNUMBER((((NºAsuntos!C18+NºAsuntos!E18)/NºAsuntos!G18)-Datos!BG18)/Datos!BG18),(((NºAsuntos!C18+NºAsuntos!E18)/NºAsuntos!G18)-Datos!BG18)/Datos!BG18," - ")</f>
        <v>0.13437499999999991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2.456140350877193E-2</v>
      </c>
      <c r="C23" s="1152">
        <f>IF(ISNUMBER(
   IF(Criterios!B14="SI",(Datos!J23-Datos!T23)/Datos!T23,(Datos!J23+Datos!AD23-(Datos!T23+Datos!AL23))/(Datos!T23+Datos!AL23))
     ),IF(Criterios!B14="SI",(Datos!J23-Datos!T23)/Datos!T23,(Datos!J23+Datos!AD23-(Datos!T23+Datos!AL23))/(Datos!T23+Datos!AL23))," - ")</f>
        <v>0.24705882352941178</v>
      </c>
      <c r="D23" s="1152">
        <f>IF(ISNUMBER(
   IF(Criterios!B14="SI",(Datos!K23-Datos!U23)/Datos!U23,(Datos!K23+Datos!AE23-(Datos!U23+Datos!AM23))/(Datos!U23+Datos!AM23))
     ),IF(Criterios!B14="SI",(Datos!K23-Datos!U23)/Datos!U23,(Datos!K23+Datos!AE23-(Datos!U23+Datos!AM23))/(Datos!U23+Datos!AM23))," - ")</f>
        <v>-0.06</v>
      </c>
      <c r="E23" s="1152">
        <f>IF(ISNUMBER(
   IF(Criterios!B14="SI",(Datos!L23-Datos!V23)/Datos!V23,(Datos!L23+Datos!AF23-(Datos!V23+Datos!AN23))/(Datos!V23+Datos!AN23))
     ),IF(Criterios!B14="SI",(Datos!L23-Datos!V23)/Datos!V23,(Datos!L23+Datos!AF23-(Datos!V23+Datos!AN23))/(Datos!V23+Datos!AN23))," - ")</f>
        <v>0.23921568627450981</v>
      </c>
      <c r="F23" s="1153">
        <f>IF(ISNUMBER((Datos!M23-Datos!W23)/Datos!W23),(Datos!M23-Datos!W23)/Datos!W23," - ")</f>
        <v>-5.4054054054054057E-2</v>
      </c>
      <c r="G23" s="1154">
        <f>IF(ISNUMBER((Datos!N23-Datos!X23)/Datos!X23),(Datos!N23-Datos!X23)/Datos!X23," - ")</f>
        <v>0.18681318681318682</v>
      </c>
      <c r="H23" s="1154">
        <f>IF(ISNUMBER(((NºAsuntos!G23/NºAsuntos!E23)-Datos!BD23)/Datos!BD23),((NºAsuntos!G23/NºAsuntos!E23)-Datos!BD23)/Datos!BD23," - ")</f>
        <v>-0.24622641509433962</v>
      </c>
      <c r="I23" s="1154">
        <f>IF(ISNUMBER(((NºAsuntos!I23/NºAsuntos!G23)-Datos!BE23)/Datos!BE23),((NºAsuntos!I23/NºAsuntos!G23)-Datos!BE23)/Datos!BE23," - ")</f>
        <v>0.31831455986649998</v>
      </c>
      <c r="J23" s="1154">
        <f>IF(ISNUMBER((('Resol  Asuntos'!D23/NºAsuntos!G23)-Datos!BF23)/Datos!BF23),(('Resol  Asuntos'!D23/NºAsuntos!G23)-Datos!BF23)/Datos!BF23," - ")</f>
        <v>6.325474410580758E-3</v>
      </c>
      <c r="K23" s="1154">
        <f>IF(ISNUMBER((((NºAsuntos!C23+NºAsuntos!E23)/NºAsuntos!G23)-Datos!BG23)/Datos!BG23),(((NºAsuntos!C23+NºAsuntos!E23)/NºAsuntos!G23)-Datos!BG23)/Datos!BG23," - ")</f>
        <v>0.17839607201309338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-5.8290155440414507E-2</v>
      </c>
      <c r="C31" s="1092">
        <f>IF(ISNUMBER(
   IF(J_V="SI",(Datos!J31-Datos!T31)/Datos!T31,(Datos!J31+Datos!Z31-(Datos!T31+Datos!AH31))/(Datos!T31+Datos!AH31))
     ),IF(J_V="SI",(Datos!J31-Datos!T31)/Datos!T31,(Datos!J31+Datos!Z31-(Datos!T31+Datos!AH31))/(Datos!T31+Datos!AH31))," - ")</f>
        <v>0.29333333333333333</v>
      </c>
      <c r="D31" s="1092">
        <f>IF(ISNUMBER(
   IF(J_V="SI",(Datos!K31-Datos!U31)/Datos!U31,(Datos!K31+Datos!AA31-(Datos!U31+Datos!AI31))/(Datos!U31+Datos!AI31))
     ),IF(J_V="SI",(Datos!K31-Datos!U31)/Datos!U31,(Datos!K31+Datos!AA31-(Datos!U31+Datos!AI31))/(Datos!U31+Datos!AI31))," - ")</f>
        <v>9.1517857142857137E-2</v>
      </c>
      <c r="E31" s="1092">
        <f>IF(ISNUMBER(
   IF(J_V="SI",(Datos!L31-Datos!V31)/Datos!V31,(Datos!L31+Datos!AB31-(Datos!V31+Datos!AJ31))/(Datos!V31+Datos!AJ31))
     ),IF(J_V="SI",(Datos!L31-Datos!V31)/Datos!V31,(Datos!L31+Datos!AB31-(Datos!V31+Datos!AJ31))/(Datos!V31+Datos!AJ31))," - ")</f>
        <v>3.8793103448275863E-2</v>
      </c>
      <c r="F31" s="1093">
        <f>IF(ISNUMBER((Datos!M31-Datos!W31)/Datos!W31),(Datos!M31-Datos!W31)/Datos!W31," - ")</f>
        <v>0.25263157894736843</v>
      </c>
      <c r="G31" s="1094">
        <f>IF(ISNUMBER((Datos!N31-Datos!X31)/Datos!X31),(Datos!N31-Datos!X31)/Datos!X31," - ")</f>
        <v>-0.287292817679558</v>
      </c>
      <c r="H31" s="1095">
        <f>IF(ISNUMBER((Tasas!B31-Datos!BD31)/Datos!BD31),(Tasas!B31-Datos!BD31)/Datos!BD31," - ")</f>
        <v>-0.15604289396170848</v>
      </c>
      <c r="I31" s="1096">
        <f>IF(ISNUMBER((Tasas!C31-Datos!BE31)/Datos!BE31),(Tasas!C31-Datos!BE31)/Datos!BE31," - ")</f>
        <v>-4.8304068824483549E-2</v>
      </c>
      <c r="J31" s="1097">
        <f>IF(ISNUMBER((Tasas!D31-Datos!BF31)/Datos!BF31),(Tasas!D31-Datos!BF31)/Datos!BF31," - ")</f>
        <v>-0.14155515836594046</v>
      </c>
      <c r="K31" s="1097">
        <f>IF(ISNUMBER((Tasas!E31-Datos!BG31)/Datos!BG31),(Tasas!E31-Datos!BG31)/Datos!BG31," - ")</f>
        <v>-3.1926444552607292E-2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07xPYcYFKxC8rJkEN9+qP/ytledQA6/uO3dxAubpp2TXR1WTnmBI+BU2ljhx5jC2029JhFNgJcPyqyw3pP/A==" saltValue="8Hi2Qr32V4P8FHdGn1Z4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BEJAR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1.1025641025641026</v>
      </c>
      <c r="C12" s="498">
        <f>IF(ISNUMBER(NºAsuntos!I12/NºAsuntos!G12),NºAsuntos!I12/NºAsuntos!G12," - ")</f>
        <v>1.3521594684385383</v>
      </c>
      <c r="D12" s="499">
        <f>IF(ISNUMBER('Resol  Asuntos'!D12/NºAsuntos!G12),'Resol  Asuntos'!D12/NºAsuntos!G12," - ")</f>
        <v>0.27906976744186046</v>
      </c>
      <c r="E12" s="500">
        <f>IF(ISNUMBER((NºAsuntos!C12+NºAsuntos!E12)/NºAsuntos!G12),(NºAsuntos!C12+NºAsuntos!E12)/NºAsuntos!G12," - ")</f>
        <v>2.3521594684385381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1.1025641025641026</v>
      </c>
      <c r="C14" s="1156">
        <f>IF(ISNUMBER(NºAsuntos!I14/NºAsuntos!G14),NºAsuntos!I14/NºAsuntos!G14," - ")</f>
        <v>1.3521594684385383</v>
      </c>
      <c r="D14" s="1157">
        <f>IF(ISNUMBER('Resol  Asuntos'!D14/NºAsuntos!G14),'Resol  Asuntos'!D14/NºAsuntos!G14," - ")</f>
        <v>0.27906976744186046</v>
      </c>
      <c r="E14" s="1158">
        <f>IF(ISNUMBER((NºAsuntos!C14+NºAsuntos!E14)/NºAsuntos!G14),(NºAsuntos!C14+NºAsuntos!E14)/NºAsuntos!G14," - ")</f>
        <v>2.3521594684385381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0.86829268292682926</v>
      </c>
      <c r="C17" s="498">
        <f>IF(ISNUMBER(NºAsuntos!I17/NºAsuntos!G17),NºAsuntos!I17/NºAsuntos!G17," - ")</f>
        <v>1.646067415730337</v>
      </c>
      <c r="D17" s="499">
        <f>IF(ISNUMBER('Resol  Asuntos'!D17/NºAsuntos!G17),'Resol  Asuntos'!D17/NºAsuntos!G17," - ")</f>
        <v>0.19662921348314608</v>
      </c>
      <c r="E17" s="500">
        <f>IF(ISNUMBER((NºAsuntos!C17+NºAsuntos!E17)/NºAsuntos!G17),(NºAsuntos!C17+NºAsuntos!E17)/NºAsuntos!G17," - ")</f>
        <v>2.6460674157303372</v>
      </c>
      <c r="G17" s="523"/>
    </row>
    <row r="18" spans="1:7">
      <c r="A18" s="450" t="str">
        <f>Datos!A18</f>
        <v>Jdos. Violencia contra la mujer</v>
      </c>
      <c r="B18" s="497">
        <f>IF(ISNUMBER(NºAsuntos!G18/NºAsuntos!E18),NºAsuntos!G18/NºAsuntos!E18," - ")</f>
        <v>1.4285714285714286</v>
      </c>
      <c r="C18" s="498">
        <f>IF(ISNUMBER(NºAsuntos!I18/NºAsuntos!G18),NºAsuntos!I18/NºAsuntos!G18," - ")</f>
        <v>2.2999999999999998</v>
      </c>
      <c r="D18" s="499">
        <f>IF(ISNUMBER('Resol  Asuntos'!D18/NºAsuntos!G18),'Resol  Asuntos'!D18/NºAsuntos!G18," - ")</f>
        <v>0</v>
      </c>
      <c r="E18" s="500">
        <f>IF(ISNUMBER((NºAsuntos!C18+NºAsuntos!E18)/NºAsuntos!G18),(NºAsuntos!C18+NºAsuntos!E18)/NºAsuntos!G18," - ")</f>
        <v>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0.8867924528301887</v>
      </c>
      <c r="C23" s="1156">
        <f>IF(ISNUMBER(NºAsuntos!I23/NºAsuntos!G23),NºAsuntos!I23/NºAsuntos!G23," - ")</f>
        <v>1.6808510638297873</v>
      </c>
      <c r="D23" s="1159">
        <f>IF(ISNUMBER('Resol  Asuntos'!D23/NºAsuntos!G23),'Resol  Asuntos'!D23/NºAsuntos!G23," - ")</f>
        <v>0.18617021276595744</v>
      </c>
      <c r="E23" s="1158">
        <f>IF(ISNUMBER((NºAsuntos!C23+NºAsuntos!E23)/NºAsuntos!G23),(NºAsuntos!C23+NºAsuntos!E23)/NºAsuntos!G23," - ")</f>
        <v>2.6808510638297873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1.0082474226804123</v>
      </c>
      <c r="C31" s="1099">
        <f>IF(ISNUMBER(NºAsuntos!I31/NºAsuntos!G31),NºAsuntos!I31/NºAsuntos!G31," - ")</f>
        <v>1.4785276073619631</v>
      </c>
      <c r="D31" s="1100">
        <f>IF(ISNUMBER('Resol  Asuntos'!D31/NºAsuntos!G31),'Resol  Asuntos'!D31/NºAsuntos!G31," - ")</f>
        <v>0.24335378323108384</v>
      </c>
      <c r="E31" s="1101">
        <f>IF(ISNUMBER((NºAsuntos!C31+NºAsuntos!E31)/NºAsuntos!G31),(NºAsuntos!C31+NºAsuntos!E31)/NºAsuntos!G31," - ")</f>
        <v>2.4785276073619631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KyIHCuuKfkXkL+NQ8OEWb7wGijQav1uvpHYZHltn6GsKqpcdB+xcL/k8yp8eY0IMVIL/HRzjlIQfUTbKEb6ag==" saltValue="UlvYCs9cMbOtwxwTKR/3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BEJAR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7</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84</v>
      </c>
      <c r="AJ12" s="243" t="str">
        <f>IF(ISNUMBER(Datos!BW12),Datos!BW12," - ")</f>
        <v xml:space="preserve"> - </v>
      </c>
      <c r="AK12" s="242" t="str">
        <f>IF(ISNUMBER(Datos!BX12),Datos!BX12," - ")</f>
        <v xml:space="preserve"> - </v>
      </c>
      <c r="AL12" s="266">
        <f>IF(ISNUMBER(NºAsuntos!G12/NºAsuntos!E12),NºAsuntos!G12/NºAsuntos!E12," - ")</f>
        <v>1.1025641025641026</v>
      </c>
      <c r="AM12" s="284">
        <f>IF(ISNUMBER(((NºAsuntos!I12/NºAsuntos!G12)*11)/factor_trimestre),((NºAsuntos!I12/NºAsuntos!G12)*11)/factor_trimestre," - ")</f>
        <v>4.0564784053156151</v>
      </c>
      <c r="AN12" s="267">
        <f>IF(ISNUMBER('Resol  Asuntos'!D12/NºAsuntos!G12),'Resol  Asuntos'!D12/NºAsuntos!G12," - ")</f>
        <v>0.27906976744186046</v>
      </c>
      <c r="AO12" s="268">
        <f>IF(ISNUMBER((NºAsuntos!C12+NºAsuntos!E12)/NºAsuntos!G12),(NºAsuntos!C12+NºAsuntos!E12)/NºAsuntos!G12," - ")</f>
        <v>2.3521594684385381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735</v>
      </c>
      <c r="AC14" s="1165">
        <f t="shared" si="6"/>
        <v>7</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1.1025641025641026</v>
      </c>
      <c r="AM14" s="1171">
        <f>IF(ISNUMBER(((NºAsuntos!I14/NºAsuntos!G14)*11)/factor_trimestre),((NºAsuntos!I14/NºAsuntos!G14)*11)/factor_trimestre," - ")</f>
        <v>4.0564784053156151</v>
      </c>
      <c r="AN14" s="1172">
        <f>IF(ISNUMBER('Resol  Asuntos'!D14/NºAsuntos!G14),'Resol  Asuntos'!D14/NºAsuntos!G14," - ")</f>
        <v>0.27906976744186046</v>
      </c>
      <c r="AO14" s="1173">
        <f>IF(ISNUMBER((NºAsuntos!C14+NºAsuntos!E14)/NºAsuntos!G14),(NºAsuntos!C14+NºAsuntos!E14)/NºAsuntos!G14," - ")</f>
        <v>2.3521594684385381</v>
      </c>
      <c r="AP14" s="1174" t="str">
        <f t="shared" si="2"/>
        <v xml:space="preserve"> - </v>
      </c>
      <c r="AQ14" s="1174" t="str">
        <f>IF(ISNUMBER((H14-W14+K14)/(F14)),(H14-W14+K14)/(F14)," - ")</f>
        <v xml:space="preserve"> - </v>
      </c>
      <c r="AR14" s="1175">
        <f>IF(ISNUMBER((Datos!P14-Datos!Q14)/(Datos!R14-Datos!P14+Datos!Q14)),(Datos!P14-Datos!Q14)/(Datos!R14-Datos!P14+Datos!Q14)," - ")</f>
        <v>7.9295154185022032E-2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266</v>
      </c>
      <c r="G17" s="373">
        <f>IF(ISNUMBER(IF(D_I="SI",Datos!I17,Datos!I17+Datos!AC17)),IF(D_I="SI",Datos!I17,Datos!I17+Datos!AC17)," - ")</f>
        <v>266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178</v>
      </c>
      <c r="X17" s="240">
        <f>IF(ISNUMBER(Datos!Q17),Datos!Q17," - ")</f>
        <v>7</v>
      </c>
      <c r="Y17" s="374">
        <f t="shared" ref="Y17:Y22" si="9">SUM(W17:X17)</f>
        <v>185</v>
      </c>
      <c r="Z17" s="375" t="str">
        <f>IF(ISNUMBER(Datos!CC17),Datos!CC17," - ")</f>
        <v xml:space="preserve"> - </v>
      </c>
      <c r="AA17" s="372">
        <f>IF(ISNUMBER(IF(D_I="SI",Datos!L17,Datos!L17+Datos!AF17)),IF(D_I="SI",Datos!L17,Datos!L17+Datos!AF17)," - ")</f>
        <v>293</v>
      </c>
      <c r="AB17" s="374">
        <f>IF(ISNUMBER(Datos!R17),Datos!R17," - ")</f>
        <v>36</v>
      </c>
      <c r="AC17" s="374">
        <f t="shared" si="8"/>
        <v>329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0.86829268292682926</v>
      </c>
      <c r="AM17" s="284">
        <f>IF(ISNUMBER(((NºAsuntos!I17/NºAsuntos!G17)*11)/factor_trimestre),((NºAsuntos!I17/NºAsuntos!G17)*11)/factor_trimestre," - ")</f>
        <v>4.9382022471910103</v>
      </c>
      <c r="AN17" s="267">
        <f>IF(ISNUMBER('Resol  Asuntos'!D17/NºAsuntos!G17),'Resol  Asuntos'!D17/NºAsuntos!G17," - ")</f>
        <v>0.19662921348314608</v>
      </c>
      <c r="AO17" s="268">
        <f>IF(ISNUMBER((NºAsuntos!C17+NºAsuntos!E17)/NºAsuntos!G17),(NºAsuntos!C17+NºAsuntos!E17)/NºAsuntos!G17," - ")</f>
        <v>2.6460674157303372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1.4285714285714286</v>
      </c>
      <c r="AM18" s="284">
        <f>IF(ISNUMBER(((NºAsuntos!I18/NºAsuntos!G18)*11)/factor_trimestre),((NºAsuntos!I18/NºAsuntos!G18)*11)/factor_trimestre," - ")</f>
        <v>6.8999999999999995</v>
      </c>
      <c r="AN18" s="267">
        <f>IF(ISNUMBER('Resol  Asuntos'!D18/NºAsuntos!G18),'Resol  Asuntos'!D18/NºAsuntos!G18," - ")</f>
        <v>0</v>
      </c>
      <c r="AO18" s="268">
        <f>IF(ISNUMBER((NºAsuntos!C18+NºAsuntos!E18)/NºAsuntos!G18),(NºAsuntos!C18+NºAsuntos!E18)/NºAsuntos!G18," - ")</f>
        <v>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266</v>
      </c>
      <c r="G23" s="1163">
        <f>SUBTOTAL(9,G16:G22)</f>
        <v>292</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188</v>
      </c>
      <c r="X23" s="1164">
        <f t="shared" si="14"/>
        <v>7</v>
      </c>
      <c r="Y23" s="1165">
        <f t="shared" si="14"/>
        <v>195</v>
      </c>
      <c r="Z23" s="1165">
        <f t="shared" si="14"/>
        <v>0</v>
      </c>
      <c r="AA23" s="1165">
        <f t="shared" si="14"/>
        <v>316</v>
      </c>
      <c r="AB23" s="1165">
        <f t="shared" si="14"/>
        <v>36</v>
      </c>
      <c r="AC23" s="1165">
        <f t="shared" si="14"/>
        <v>352</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0.8867924528301887</v>
      </c>
      <c r="AM23" s="1171">
        <f>IF(ISNUMBER(((NºAsuntos!I23/NºAsuntos!G23)*11)/factor_trimestre),((NºAsuntos!I23/NºAsuntos!G23)*11)/factor_trimestre," - ")</f>
        <v>5.042553191489362</v>
      </c>
      <c r="AN23" s="1172">
        <f>IF(ISNUMBER('Resol  Asuntos'!D23/NºAsuntos!G23),'Resol  Asuntos'!D23/NºAsuntos!G23," - ")</f>
        <v>0.18617021276595744</v>
      </c>
      <c r="AO23" s="1173">
        <f>IF(ISNUMBER((NºAsuntos!C23+NºAsuntos!E23)/NºAsuntos!G23),(NºAsuntos!C23+NºAsuntos!E23)/NºAsuntos!G23," - ")</f>
        <v>2.6808510638297873</v>
      </c>
      <c r="AP23" s="1174" t="str">
        <f t="shared" si="2"/>
        <v xml:space="preserve"> - </v>
      </c>
      <c r="AQ23" s="1174">
        <f>IF(ISNUMBER((H23-W23+K23)/(F23)),(H23-W23+K23)/(F23)," - ")</f>
        <v>-0.70676691729323304</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266</v>
      </c>
      <c r="G31" s="1118">
        <f t="shared" si="20"/>
        <v>292</v>
      </c>
      <c r="H31" s="1117">
        <f t="shared" si="20"/>
        <v>0</v>
      </c>
      <c r="I31" s="1119">
        <f t="shared" si="20"/>
        <v>0</v>
      </c>
      <c r="J31" s="1119">
        <f t="shared" si="20"/>
        <v>0</v>
      </c>
      <c r="K31" s="1180">
        <f t="shared" si="20"/>
        <v>0</v>
      </c>
      <c r="L31" s="1119">
        <f t="shared" si="20"/>
        <v>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v>
      </c>
      <c r="X31" s="1118">
        <f t="shared" si="21"/>
        <v>26</v>
      </c>
      <c r="Y31" s="1125">
        <f t="shared" si="21"/>
        <v>214</v>
      </c>
      <c r="Z31" s="1125">
        <f t="shared" si="21"/>
        <v>0</v>
      </c>
      <c r="AA31" s="1125">
        <f t="shared" si="21"/>
        <v>316</v>
      </c>
      <c r="AB31" s="1125">
        <f t="shared" si="21"/>
        <v>771</v>
      </c>
      <c r="AC31" s="1125">
        <f t="shared" si="21"/>
        <v>359</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1.0082474226804123</v>
      </c>
      <c r="AM31" s="1184">
        <f>IF(ISNUMBER(((NºAsuntos!I31/NºAsuntos!G31)*11)/factor_trimestre),((NºAsuntos!I31/NºAsuntos!G31)*11)/factor_trimestre," - ")</f>
        <v>4.4355828220858902</v>
      </c>
      <c r="AN31" s="1184">
        <f>IF(ISNUMBER('Resol  Asuntos'!D31/NºAsuntos!G31),'Resol  Asuntos'!D31/NºAsuntos!G31," - ")</f>
        <v>0.24335378323108384</v>
      </c>
      <c r="AO31" s="1185">
        <f>IF(ISNUMBER((NºAsuntos!C31+NºAsuntos!E31)/NºAsuntos!G31),(NºAsuntos!C31+NºAsuntos!E31)/NºAsuntos!G31," - ")</f>
        <v>2.4785276073619631</v>
      </c>
      <c r="AP31" s="1186" t="str">
        <f t="shared" si="2"/>
        <v xml:space="preserve"> - </v>
      </c>
      <c r="AQ31" s="1187">
        <f>IF(OR(ISNUMBER(FIND("01",Criterios!A8,1)),ISNUMBER(FIND("02",Criterios!A8,1)),ISNUMBER(FIND("03",Criterios!A8,1)),ISNUMBER(FIND("04",Criterios!A8,1))),(I31-W31+K31)/(F31-K31),(H31-W31+K31)/(F31-K31))</f>
        <v>-0.70676691729323304</v>
      </c>
      <c r="AR31" s="1188">
        <f>IF(ISNUMBER((Datos!P31-Datos!Q31)/(Datos!R31-Datos!P31+Datos!Q31)),(Datos!P31-Datos!Q31)/(Datos!R31-Datos!P31+Datos!Q31)," - ")</f>
        <v>8.134642356241234E-2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137.36180934548972</v>
      </c>
      <c r="G33" s="277">
        <f>IF(ISNUMBER(STDEV(G8:G30)),STDEV(G8:G30),"-")</f>
        <v>134.14775081088408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88.441533014216589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36.803532439155894</v>
      </c>
      <c r="AJ33" s="276">
        <f t="shared" si="25"/>
        <v>0</v>
      </c>
      <c r="AK33" s="278">
        <f t="shared" si="25"/>
        <v>0</v>
      </c>
      <c r="AL33" s="273">
        <f t="shared" si="25"/>
        <v>0.22618814423607517</v>
      </c>
      <c r="AM33" s="274">
        <f t="shared" si="25"/>
        <v>1.161474044960539</v>
      </c>
      <c r="AN33" s="274">
        <f t="shared" si="25"/>
        <v>0.11402745305505038</v>
      </c>
      <c r="AO33" s="275">
        <f t="shared" si="25"/>
        <v>0.38715801498684477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aN4zSSTrB+OAZVdobWCTW8SyRcvP//w1zkS0urYymTwNNvLdYAyWDrm5he4nBbhBryENjw4qgWcMoFSffwY6A==" saltValue="T3kXWDRMIynbwi8sArwv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BEJAR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0.44827586206896552</v>
      </c>
      <c r="I12" s="395">
        <f>IF(ISNUMBER((Tasas!C12-Datos!BE12)/Datos!BE12),(Tasas!C12-Datos!BE12)/Datos!BE12," - ")</f>
        <v>-0.23439372563297375</v>
      </c>
      <c r="J12" s="394">
        <f>IF(ISNUMBER((Tasas!D12-Datos!BF12)/Datos!BF12),(Tasas!D12-Datos!BF12)/Datos!BF12," - ")</f>
        <v>-0.23100775193798453</v>
      </c>
      <c r="K12" s="396">
        <f>IF(ISNUMBER((Tasas!E12-Datos!BG12)/Datos!BG12),(Tasas!E12-Datos!BG12)/Datos!BG12," - ")</f>
        <v>-0.15335914633852332</v>
      </c>
      <c r="M12" t="e">
        <f>IF(Monitorios="SI",Datos!CE12,0)</f>
        <v>#REF!</v>
      </c>
      <c r="N12" t="e">
        <f>IF(Monitorios="SI",Datos!CF12,0)</f>
        <v>#REF!</v>
      </c>
      <c r="O12" t="e">
        <f>IF(Monitorios="SI",Datos!CG12,0)</f>
        <v>#REF!</v>
      </c>
      <c r="P12" t="e">
        <f>IF(Monitorios="SI",Datos!CH12,0)</f>
        <v>#REF!</v>
      </c>
      <c r="Q12">
        <f>IF(J_V="SI",0,Datos!AG12)</f>
        <v>11</v>
      </c>
      <c r="R12">
        <f>IF(J_V="SI",0,Datos!AH12)</f>
        <v>21</v>
      </c>
      <c r="S12">
        <f>IF(J_V="SI",0,Datos!AI12)</f>
        <v>21</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0.44827586206896552</v>
      </c>
      <c r="I14" s="402">
        <f>IF(ISNUMBER((Tasas!C14-Datos!BE14)/Datos!BE14),(Tasas!C14-Datos!BE14)/Datos!BE14," - ")</f>
        <v>-0.23960193158104881</v>
      </c>
      <c r="J14" s="400">
        <f>IF(ISNUMBER((Tasas!D14-Datos!BF14)/Datos!BF14),(Tasas!D14-Datos!BF14)/Datos!BF14," - ")</f>
        <v>-0.23100775193798453</v>
      </c>
      <c r="K14" s="403">
        <f>IF(ISNUMBER((Tasas!E14-Datos!BG14)/Datos!BG14),(Tasas!E14-Datos!BG14)/Datos!BG14," - ")</f>
        <v>-0.15702955466364538</v>
      </c>
      <c r="M14" t="e">
        <f>IF(Monitorios="SI",Datos!CE14,0)</f>
        <v>#REF!</v>
      </c>
      <c r="N14" t="e">
        <f>IF(Monitorios="SI",Datos!CF14,0)</f>
        <v>#REF!</v>
      </c>
      <c r="O14" t="e">
        <f>IF(Monitorios="SI",Datos!CG14,0)</f>
        <v>#REF!</v>
      </c>
      <c r="P14" t="e">
        <f>IF(Monitorios="SI",Datos!CH14,0)</f>
        <v>#REF!</v>
      </c>
      <c r="Q14">
        <f>IF(J_V="SI",0,Datos!AG14)</f>
        <v>11</v>
      </c>
      <c r="R14">
        <f>IF(J_V="SI",0,Datos!AH14)</f>
        <v>21</v>
      </c>
      <c r="S14">
        <f>IF(J_V="SI",0,Datos!AI14)</f>
        <v>21</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1.5267175572519083E-2</v>
      </c>
      <c r="E17" s="393">
        <f>IF(ISNUMBER(
   IF(D_I="SI",(Datos!J17-Datos!T17)/Datos!T17,(Datos!J17+Datos!AD17-(Datos!T17+Datos!AL17))/(Datos!T17+Datos!AL17))
     ),IF(D_I="SI",(Datos!J17-Datos!T17)/Datos!T17,(Datos!J17+Datos!AD17-(Datos!T17+Datos!AL17))/(Datos!T17+Datos!AL17))," - ")</f>
        <v>0.27329192546583853</v>
      </c>
      <c r="F17" s="393">
        <f>IF(ISNUMBER(
   IF(D_I="SI",(Datos!K17-Datos!U17)/Datos!U17,(Datos!K17+Datos!AE17-(Datos!U17+Datos!AM17))/(Datos!U17+Datos!AM17))
     ),IF(D_I="SI",(Datos!K17-Datos!U17)/Datos!U17,(Datos!K17+Datos!AE17-(Datos!U17+Datos!AM17))/(Datos!U17+Datos!AM17))," - ")</f>
        <v>-5.8201058201058198E-2</v>
      </c>
      <c r="G17" s="394">
        <f>IF(ISNUMBER(
   IF(D_I="SI",(Datos!L17-Datos!V17)/Datos!V17,(Datos!L17+Datos!AF17-(Datos!V17+Datos!AN17))/(Datos!V17+Datos!AN17))
     ),IF(D_I="SI",(Datos!L17-Datos!V17)/Datos!V17,(Datos!L17+Datos!AF17-(Datos!V17+Datos!AN17))/(Datos!V17+Datos!AN17))," - ")</f>
        <v>0.25213675213675213</v>
      </c>
      <c r="H17" s="244">
        <f>IF(ISNUMBER((Datos!M17-Datos!W17)/Datos!W17),(Datos!M17-Datos!W17)/Datos!W17," - ")</f>
        <v>-2.7777777777777776E-2</v>
      </c>
      <c r="I17" s="395">
        <f>IF(ISNUMBER((Tasas!C17-Datos!BE17)/Datos!BE17),(Tasas!C17-Datos!BE17)/Datos!BE17," - ")</f>
        <v>0.32951598962834905</v>
      </c>
      <c r="J17" s="394">
        <f>IF(ISNUMBER((Tasas!D17-Datos!BF17)/Datos!BF17),(Tasas!D17-Datos!BF17)/Datos!BF17," - ")</f>
        <v>3.2303370786516954E-2</v>
      </c>
      <c r="K17" s="396">
        <f>IF(ISNUMBER((Tasas!E17-Datos!BG17)/Datos!BG17),(Tasas!E17-Datos!BG17)/Datos!BG17," - ")</f>
        <v>0.18228544107100172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0.13043478260869565</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9.5238095238095233E-2</v>
      </c>
      <c r="H18" s="244">
        <f>IF(ISNUMBER((Datos!M18-Datos!W18)/Datos!W18),(Datos!M18-Datos!W18)/Datos!W18," - ")</f>
        <v>-1</v>
      </c>
      <c r="I18" s="395">
        <f>IF(ISNUMBER((Tasas!C18-Datos!BE18)/Datos!BE18),(Tasas!C18-Datos!BE18)/Datos!BE18," - ")</f>
        <v>0.20476190476190462</v>
      </c>
      <c r="J18" s="394">
        <f>IF(ISNUMBER((Tasas!D18-Datos!BF18)/Datos!BF18),(Tasas!D18-Datos!BF18)/Datos!BF18," - ")</f>
        <v>-1</v>
      </c>
      <c r="K18" s="396">
        <f>IF(ISNUMBER((Tasas!E18-Datos!BG18)/Datos!BG18),(Tasas!E18-Datos!BG18)/Datos!BG18," - ")</f>
        <v>0.13437499999999991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2.456140350877193E-2</v>
      </c>
      <c r="E23" s="399">
        <f>IF(ISNUMBER(
   IF(D_I="SI",(Datos!J23-Datos!T23)/Datos!T23,(Datos!J23+Datos!AD23-(Datos!T23+Datos!AL23))/(Datos!T23+Datos!AL23))
     ),IF(D_I="SI",(Datos!J23-Datos!T23)/Datos!T23,(Datos!J23+Datos!AD23-(Datos!T23+Datos!AL23))/(Datos!T23+Datos!AL23))," - ")</f>
        <v>0.24705882352941178</v>
      </c>
      <c r="F23" s="399">
        <f>IF(ISNUMBER(
   IF(D_I="SI",(Datos!K23-Datos!U23)/Datos!U23,(Datos!K23+Datos!AE23-(Datos!U23+Datos!AM23))/(Datos!U23+Datos!AM23))
     ),IF(D_I="SI",(Datos!K23-Datos!U23)/Datos!U23,(Datos!K23+Datos!AE23-(Datos!U23+Datos!AM23))/(Datos!U23+Datos!AM23))," - ")</f>
        <v>-0.06</v>
      </c>
      <c r="G23" s="400">
        <f>IF(ISNUMBER(
   IF(D_I="SI",(Datos!L23-Datos!V23)/Datos!V23,(Datos!L23+Datos!AF23-(Datos!V23+Datos!AN23))/(Datos!V23+Datos!AN23))
     ),IF(D_I="SI",(Datos!L23-Datos!V23)/Datos!V23,(Datos!L23+Datos!AF23-(Datos!V23+Datos!AN23))/(Datos!V23+Datos!AN23))," - ")</f>
        <v>0.23921568627450981</v>
      </c>
      <c r="H23" s="401">
        <f>IF(ISNUMBER((Datos!M23-Datos!W23)/Datos!W23),(Datos!M23-Datos!W23)/Datos!W23," - ")</f>
        <v>-5.4054054054054057E-2</v>
      </c>
      <c r="I23" s="402">
        <f>IF(ISNUMBER((Tasas!C23-Datos!BE23)/Datos!BE23),(Tasas!C23-Datos!BE23)/Datos!BE23," - ")</f>
        <v>0.31831455986649998</v>
      </c>
      <c r="J23" s="400">
        <f>IF(ISNUMBER((Tasas!D23-Datos!BF23)/Datos!BF23),(Tasas!D23-Datos!BF23)/Datos!BF23," - ")</f>
        <v>6.325474410580758E-3</v>
      </c>
      <c r="K23" s="403">
        <f>IF(ISNUMBER((Tasas!E23-Datos!BG23)/Datos!BG23),(Tasas!E23-Datos!BG23)/Datos!BG23," - ")</f>
        <v>0.17839607201309338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-5.8290155440414507E-2</v>
      </c>
      <c r="E31" s="409">
        <f>IF(ISNUMBER(
   IF(J_V="SI",(Datos!J31-Datos!T31)/Datos!T31,(Datos!J31+Datos!Z31-(Datos!T31+Datos!AH31))/(Datos!T31+Datos!AH31))
     ),IF(J_V="SI",(Datos!J31-Datos!T31)/Datos!T31,(Datos!J31+Datos!Z31-(Datos!T31+Datos!AH31))/(Datos!T31+Datos!AH31))," - ")</f>
        <v>0.29333333333333333</v>
      </c>
      <c r="F31" s="409">
        <f>IF(ISNUMBER(
   IF(J_V="SI",(Datos!K31-Datos!U31)/Datos!U31,(Datos!K31+Datos!AA31-(Datos!U31+Datos!AI31))/(Datos!U31+Datos!AI31))
     ),IF(J_V="SI",(Datos!K31-Datos!U31)/Datos!U31,(Datos!K31+Datos!AA31-(Datos!U31+Datos!AI31))/(Datos!U31+Datos!AI31))," - ")</f>
        <v>9.1517857142857137E-2</v>
      </c>
      <c r="G31" s="410">
        <f>IF(ISNUMBER(
   IF(J_V="SI",(Datos!L31-Datos!V31)/Datos!V31,(Datos!L31+Datos!AB31-(Datos!V31+Datos!AJ31))/(Datos!V31+Datos!AJ31))
     ),IF(J_V="SI",(Datos!L31-Datos!V31)/Datos!V31,(Datos!L31+Datos!AB31-(Datos!V31+Datos!AJ31))/(Datos!V31+Datos!AJ31))," - ")</f>
        <v>3.8793103448275863E-2</v>
      </c>
      <c r="H31" s="411">
        <f>IF(ISNUMBER((Datos!M31-Datos!W31)/Datos!W31),(Datos!M31-Datos!W31)/Datos!W31," - ")</f>
        <v>0.25263157894736843</v>
      </c>
      <c r="I31" s="408">
        <f>IF(ISNUMBER((Tasas!C31-Datos!BE31)/Datos!BE31),(Tasas!C31-Datos!BE31)/Datos!BE31," - ")</f>
        <v>-4.8304068824483549E-2</v>
      </c>
      <c r="J31" s="409">
        <f>IF(ISNUMBER((Tasas!D31-Datos!BF31)/Datos!BF31),(Tasas!D31-Datos!BF31)/Datos!BF31," - ")</f>
        <v>-0.14155515836594046</v>
      </c>
      <c r="K31" s="410">
        <f>IF(ISNUMBER((Tasas!E31-Datos!BG31)/Datos!BG31),(Tasas!E31-Datos!BG31)/Datos!BG31," - ")</f>
        <v>-3.1926444552607292E-2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0.53095318672112701</v>
      </c>
      <c r="E33" s="303">
        <f t="shared" si="1"/>
        <v>0.59496592721082087</v>
      </c>
      <c r="F33" s="303">
        <f t="shared" si="1"/>
        <v>1.8386695806353038E-2</v>
      </c>
      <c r="G33" s="304">
        <f t="shared" si="1"/>
        <v>0.60198021407278668</v>
      </c>
      <c r="H33" s="310">
        <f t="shared" si="1"/>
        <v>0.5913396230305995</v>
      </c>
      <c r="I33" s="302">
        <f t="shared" si="1"/>
        <v>0.28961818890254004</v>
      </c>
      <c r="J33" s="303">
        <f t="shared" si="1"/>
        <v>0.41910820985772052</v>
      </c>
      <c r="K33" s="304">
        <f t="shared" si="1"/>
        <v>0.17639915660290775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s8YsoWYYmepODaa9yZDpm9ojW47A+gcDwFy93T3YTpuLGjS3zLB5El68eaDHWrZSbtCg8f+4rWui6efamL/Sw==" saltValue="cLGPFbc8kuqNtWhvk9D+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